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'Лист1'!$A$5:$S$141</definedName>
  </definedNames>
  <calcPr fullCalcOnLoad="1"/>
</workbook>
</file>

<file path=xl/sharedStrings.xml><?xml version="1.0" encoding="utf-8"?>
<sst xmlns="http://schemas.openxmlformats.org/spreadsheetml/2006/main" count="317" uniqueCount="300">
  <si>
    <t>000 1 00 00000 00 0000 000</t>
  </si>
  <si>
    <t xml:space="preserve">182 1 01 00000 00 0000 000 </t>
  </si>
  <si>
    <t>Налоги на прибыль, доходы</t>
  </si>
  <si>
    <t xml:space="preserve">182 1 01 01000 00 0000 110 </t>
  </si>
  <si>
    <t>Налог на прибыль организаций</t>
  </si>
  <si>
    <t>182 1 01 01012 02 0000 110</t>
  </si>
  <si>
    <t>182 1 01 02000 01 0000 110</t>
  </si>
  <si>
    <t>Налог на доходы физических лиц</t>
  </si>
  <si>
    <t xml:space="preserve">182 1 05 00000 00 0000 000 </t>
  </si>
  <si>
    <t>Налоги на совокупный доход</t>
  </si>
  <si>
    <t>182 1 06 00000 00 0000 000</t>
  </si>
  <si>
    <t>Налоги на имущество</t>
  </si>
  <si>
    <t>182 1 06 02000 02 0000 110</t>
  </si>
  <si>
    <t>Налог на имущество организаций</t>
  </si>
  <si>
    <t>182 1 06 04000 02 0000 110</t>
  </si>
  <si>
    <t>Транспортный налог</t>
  </si>
  <si>
    <t>Налог на игорный бизнес</t>
  </si>
  <si>
    <t>182 1 07 00000 00 0000 000</t>
  </si>
  <si>
    <t>Налоги, сборы и регулярные платежи за пользование природными ресурсами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</si>
  <si>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</si>
  <si>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</si>
  <si>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</si>
  <si>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</si>
  <si>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</si>
  <si>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</si>
  <si>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</si>
  <si>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</si>
  <si>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</si>
  <si>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</si>
  <si>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000 1 13 00000 00 0000 000</t>
  </si>
  <si>
    <t>Доходы от оказания платных услуг и компенсации затрат государства</t>
  </si>
  <si>
    <t>Всего доходов</t>
  </si>
  <si>
    <t>Безвозмездные поступления</t>
  </si>
  <si>
    <t>000 1 08 00000 00 0000 000</t>
  </si>
  <si>
    <t>000 1 11 05000 00 0000 120</t>
  </si>
  <si>
    <t>000 1 14 00000 00 0000 000</t>
  </si>
  <si>
    <t>Доходы от продажи материальных и нематериальных активов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</si>
  <si>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</si>
  <si>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Прочие неналоговые доходы бюджетов субъектов Российской Федерации</t>
  </si>
  <si>
    <t>000 1 17 05020 02 0000 180</t>
  </si>
  <si>
    <t>000 2 00 00000 00 0000 000</t>
  </si>
  <si>
    <t>Код бюджетной классификации РФ</t>
  </si>
  <si>
    <t>911 1 11 01020 02 0000 120</t>
  </si>
  <si>
    <t>906 1 11 03020 02 0000 120</t>
  </si>
  <si>
    <t>911 1 11 05032 02 0000 120</t>
  </si>
  <si>
    <t>911 1 11 07012 02 0000 120</t>
  </si>
  <si>
    <t>Наименование доходов</t>
  </si>
  <si>
    <t>Сбор за пользование объектами животного мира</t>
  </si>
  <si>
    <t>Государственная пошлина за государственную регистрацию, а также за совершение прочих юридически значимых действий</t>
  </si>
  <si>
    <t>182 1 07 04010 01 0000 110</t>
  </si>
  <si>
    <t>000 1 08 07000 01 0000 110</t>
  </si>
  <si>
    <t>Налог на прибыль организаций, зачисляемый в бюджеты субъектов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</si>
  <si>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</si>
  <si>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</si>
  <si>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</si>
  <si>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</si>
  <si>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000 1 16 90020 02 0000 140</t>
  </si>
  <si>
    <t>182 1 06 05000 02 0000 110</t>
  </si>
  <si>
    <t>Безвозмездные поступления от других бюджетов бюджетной системы Российской Федерации</t>
  </si>
  <si>
    <t>182 1 05 01000 00 0000 110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</si>
  <si>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</si>
  <si>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 xml:space="preserve">922 1 13 02021 02 0000 130  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</si>
  <si>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</si>
  <si>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936 1 12 04000 00 0000 120</t>
  </si>
  <si>
    <t>906 2 02 04005 02 0000 151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</si>
  <si>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</si>
  <si>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Доходы от предпринимательской и иной приносящей доход деятельности </t>
  </si>
  <si>
    <t>Плата за использование лесов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</si>
  <si>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</si>
  <si>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Дотации бюджетам субъектов Российской Федерации и муниципальных образований</t>
  </si>
  <si>
    <t>Дотации бюджетам субъектов Российской Федерации на выравнивание бюджетной обеспеченности</t>
  </si>
  <si>
    <t>906 2 02 01001 02 0000 151</t>
  </si>
  <si>
    <t>Субсидии бюджетам субъектов Российской Федерации и муниципальных образований (межбюджетные субсидии)</t>
  </si>
  <si>
    <t>000 2 02 01000 00 0000 151</t>
  </si>
  <si>
    <t>000 2 02 02000 00 0000 151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</si>
  <si>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</si>
  <si>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Субсидии бюджетам субъектов Российской Федерации на ежемесячное денежное вознаграждение за классное руководство</t>
  </si>
  <si>
    <t>Субсидии бюджетам субъектов Российской Федерации на реализацию федеральных целевых программ</t>
  </si>
  <si>
    <t>Субсидии бюджетам субъектов Российской Федерации на поощрение лучших учителей</t>
  </si>
  <si>
    <t>Субсидии бюджетам субъектов Российской Федерации на комплектование книжных фондов библиотек муниципальных образований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</si>
  <si>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</si>
  <si>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</si>
  <si>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</si>
  <si>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государственную регистрацию актов гражданского состояния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</si>
  <si>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</si>
  <si>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</si>
  <si>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Субвенции бюджетам субъектов Российской Федерации на организацию, регулирование и охрану водных биологических ресурсов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</si>
  <si>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</si>
  <si>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</si>
  <si>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</si>
  <si>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</si>
  <si>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906 2 02 03015 02 0000 151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</si>
  <si>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</si>
  <si>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осуществление отдельных полномочий в области водных отношений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</si>
  <si>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</si>
  <si>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</si>
  <si>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</si>
  <si>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 xml:space="preserve"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 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</si>
  <si>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охраны, использования объектов животного мира и среды их обитания</t>
  </si>
  <si>
    <t>Иные межбюджетные трансферты</t>
  </si>
  <si>
    <t>000 2 02 04000 00 0000 151</t>
  </si>
  <si>
    <t>000 3 00 00000 00 0000 000</t>
  </si>
  <si>
    <t>906 2 02 03001 02 0000 151</t>
  </si>
  <si>
    <t>Государственная пошлина</t>
  </si>
  <si>
    <t>000 1 03 00000 00 0000 000</t>
  </si>
  <si>
    <t>000 1 03 02000 01 0000 110</t>
  </si>
  <si>
    <t>Налог, взимаемый в связи с применением упрощенной системы налогообложения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</si>
  <si>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</si>
  <si>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субъектов Российской Федерации на оздоровление детей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</si>
  <si>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</si>
  <si>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</si>
  <si>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 и ежемесячного пособия на ребенка военнослужащего, проходящего военную службу по призыву</t>
  </si>
  <si>
    <t>Платежи при пользовании недрами</t>
  </si>
  <si>
    <t>000 1 13 03020 02 0000 130</t>
  </si>
  <si>
    <t>938 2 02 02021 02 0000 151</t>
  </si>
  <si>
    <t>940 2 02 03005 02 0000 151</t>
  </si>
  <si>
    <t>940 2 02 03006 02 0000 151</t>
  </si>
  <si>
    <t>936 2 02 03018 02 0000 151</t>
  </si>
  <si>
    <t>938 2 02 03019 02 0000 151</t>
  </si>
  <si>
    <t>927 2 02 02041 02 0000 151</t>
  </si>
  <si>
    <t>927 2 02 02051 02 0000 151</t>
  </si>
  <si>
    <t>927 2 02 02044 02 0000 151</t>
  </si>
  <si>
    <t>Субсидии бюджетам субъектов Российской Федерации на обеспечение автомобильными дорогами новых микрорайонов</t>
  </si>
  <si>
    <t>924 2 02 03030 02 0000 151</t>
  </si>
  <si>
    <t>908 2 03 10001 02 0001 180</t>
  </si>
  <si>
    <t xml:space="preserve">924 2 03 10001 02 0002 180   </t>
  </si>
  <si>
    <t>909 2 02 02005 02 0000 151</t>
  </si>
  <si>
    <t>901 2 02 02024 02 0000 151</t>
  </si>
  <si>
    <t>903 2 02 02037 02 0000 151</t>
  </si>
  <si>
    <t>903 2 02 02067 02 0000 151</t>
  </si>
  <si>
    <t>902 2 02 02068 02 0000 151</t>
  </si>
  <si>
    <t>909 2 02 03004 02 0000 151</t>
  </si>
  <si>
    <t>909 2 02 03010 02 0000 151</t>
  </si>
  <si>
    <t>909 2 02 03011 02 0000 151</t>
  </si>
  <si>
    <t>909 2 02 03012 02 0000 151</t>
  </si>
  <si>
    <t>903 2 02 03020 02 0000 151</t>
  </si>
  <si>
    <t>909 2 02 03053 02 0000 151</t>
  </si>
  <si>
    <t>920 2 02 03003 02 0000 151</t>
  </si>
  <si>
    <t>Итого доходов</t>
  </si>
  <si>
    <t xml:space="preserve">АПК </t>
  </si>
  <si>
    <t>власть</t>
  </si>
  <si>
    <t>Запруднова</t>
  </si>
  <si>
    <t>Соцсфера</t>
  </si>
  <si>
    <t>ИТОГО</t>
  </si>
  <si>
    <t>мест</t>
  </si>
  <si>
    <t>дороги</t>
  </si>
  <si>
    <t>омбо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</si>
  <si>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</si>
  <si>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</si>
  <si>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</si>
  <si>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</si>
  <si>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</si>
  <si>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911 1 11 05022 02 0000 120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</si>
  <si>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 субъектов Российской Федерации (за исключением земельных участков автономных учреждений субъектов Российской Федерации)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</si>
  <si>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</si>
  <si>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</si>
  <si>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</si>
  <si>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</si>
  <si>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000 114 06012 04 0000 430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</si>
  <si>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</si>
  <si>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000 114 06022 02 0000 430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</si>
  <si>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</si>
  <si>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934 2 02 03025 02 0000 151</t>
  </si>
  <si>
    <t>940 2 02 03031 02 0000 151</t>
  </si>
  <si>
    <t>940 2 02 03032 02 0000 151</t>
  </si>
  <si>
    <t>920 2 02 04001 02 0000 151</t>
  </si>
  <si>
    <t>920 2 02 04002 02 0000 151</t>
  </si>
  <si>
    <t>Субвенции бюджетам субъектов Российской Федерации на осуществление передаваемых полномочий Российской Федерации в области охраны здоровья граждан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</si>
  <si>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</si>
  <si>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909 2 02 02001 02 0000 151</t>
  </si>
  <si>
    <t>Налоговые и неналоговые доходы</t>
  </si>
  <si>
    <t>Межбюджетные трансферты, передаваемые бюджетам субъектов 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</si>
  <si>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000 1 11 07000 00 0000 120</t>
  </si>
  <si>
    <t>Платежи от государственных и муниципальных унитарных предприятий</t>
  </si>
  <si>
    <t>000 2 02 00000 00 0000 000</t>
  </si>
  <si>
    <t>000 2 03 10001 00 0000 180</t>
  </si>
  <si>
    <t xml:space="preserve">Безвозмездные  поступления от государственной корпорации Фонд  содействия  реформированию жилищно-коммунального хозяйства
</t>
  </si>
  <si>
    <t>924 2 02 02077 02 0000 151</t>
  </si>
  <si>
    <t>924 2 02 02051 02 0000 151</t>
  </si>
  <si>
    <t>2009 год  (тыс.руб.)</t>
  </si>
  <si>
    <t xml:space="preserve">Субсидии бюджетам субъектов Российской  Федерации на бюджетные инвестиции  в  объекты  капитального                            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
</t>
  </si>
  <si>
    <t>901 2 02 03054 02 0000 151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</si>
  <si>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</si>
  <si>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к Закону Ярославской области</t>
  </si>
  <si>
    <t>от________________ № _____</t>
  </si>
  <si>
    <t>938 1 12 02000 01 0000 120</t>
  </si>
  <si>
    <t>901 2 02 02097 02 0000 151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</si>
  <si>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</si>
  <si>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 xml:space="preserve">924 2 03 10001 02 0003 180   </t>
  </si>
  <si>
    <t xml:space="preserve">уточнение </t>
  </si>
  <si>
    <t>2010 год (тыс.руб.)</t>
  </si>
  <si>
    <t>2011 год     (тыс.руб.)</t>
  </si>
  <si>
    <t>АПК</t>
  </si>
  <si>
    <t>Итого</t>
  </si>
  <si>
    <t>934 2 02 02101 02 0000 151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</si>
  <si>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</si>
  <si>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Власть</t>
  </si>
  <si>
    <t>Субсидии бюджетам субъектов Российской Федерации на реализацию мер социальной поддержки отдельных категорий граждан</t>
  </si>
  <si>
    <t>903 2 02 02033 02 0000 151</t>
  </si>
  <si>
    <t>Субсидии бюджетам субъектов Российской Федерации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</si>
  <si>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903 2 02 02032 02 0000 151</t>
  </si>
  <si>
    <t>903 2 02 02047 02 0000 151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</si>
  <si>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</si>
  <si>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</si>
  <si>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901 2 02 03068 02 0000 151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</si>
  <si>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</si>
  <si>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</si>
  <si>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901 2 02 04017 02 0000 151</t>
  </si>
  <si>
    <t>909 2 02 04021 02 0000 151</t>
  </si>
  <si>
    <t>Прочие безвозмездные поступления от других бюджетов бюджетной системы</t>
  </si>
  <si>
    <t>000 2 02 09000 02 0000 151</t>
  </si>
  <si>
    <t>909 2 02 09071 02 0000 151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</si>
  <si>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</si>
  <si>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901 2 02 02054 02 0000 151</t>
  </si>
  <si>
    <t>912 2 02 03061 02 0000 151</t>
  </si>
  <si>
    <t>Субвенции бюджетам субъектов Российской Федерации на осуществление полномочий по оформлению и ведению спортивных паспортов</t>
  </si>
  <si>
    <t xml:space="preserve">Гаврилова </t>
  </si>
  <si>
    <t>901 2 02 02094 02 0000 151</t>
  </si>
  <si>
    <t>Субсидии бюджетам субъектов Российской Федерации на закупку оборудования для    учреждений здравоохранения субъектов Российской Федерации и муниципальных образований в целях  реализации мероприятий, направленных на  совершенствование оказания медицинской     помощи больным с сосудистыми заболеваниями</t>
  </si>
  <si>
    <t>Баулина</t>
  </si>
  <si>
    <t>908 2 02 02051 02 0000 151</t>
  </si>
  <si>
    <t>912 2 02 02077 02 0000 151</t>
  </si>
  <si>
    <t>Субсидии бюджетам субъектов Российской  Федерации на бюджетные инвестиции  в  объекты 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</si>
  <si>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925 2 02 02077 02 0000 151</t>
  </si>
  <si>
    <t xml:space="preserve">внебюджетка </t>
  </si>
  <si>
    <t xml:space="preserve">Кокорин </t>
  </si>
  <si>
    <t>Межбюджетные трансферты, передаваемые бюджетам субъектов Российской Федерации на выплату единовременной денежной компенсации отдельным категориям граждан вместо получения транспортного средства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</si>
  <si>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 рынка жилья</t>
  </si>
  <si>
    <t>Субсидии бюджетам субъектов Российской Федерации на содержание ребенка в семье опекуна и приемной семье, а также  оплату труда приемному родителю</t>
  </si>
  <si>
    <t>уточнение апрель</t>
  </si>
  <si>
    <t>Дотации бюджетам субъектов Российской Федерации на поддержку мер по обеспечению сбалансированности бюджетов</t>
  </si>
  <si>
    <t>ОСПБ</t>
  </si>
  <si>
    <t>903 2 02 03060 02 0000 151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</si>
  <si>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</si>
  <si>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901 2 02 02093 0000 151</t>
  </si>
  <si>
    <t>Субсидии бюджетам субъектов Российской  Федерации на закупку оборудования для     учреждений здравоохранения субъектов Российской  Федерации и муниципальных образований в целях   реализации мероприятий, направленных на   совершенствование организации медицинской помощи пострадавшим при дорожно-транспортных происшествиях</t>
  </si>
  <si>
    <t>Дороги</t>
  </si>
  <si>
    <t xml:space="preserve">Доходы </t>
  </si>
  <si>
    <t xml:space="preserve">Предприн. </t>
  </si>
  <si>
    <t>План (тыс.руб.)</t>
  </si>
  <si>
    <t>Приложение 1</t>
  </si>
  <si>
    <t>906 2 02 01003 02 0000 151</t>
  </si>
  <si>
    <t>906 2 02 02102 02 0000 151</t>
  </si>
  <si>
    <t>Субсидии бюджетам на закупку автотранспортных средств и коммунальной техники</t>
  </si>
  <si>
    <t>уточнение</t>
  </si>
  <si>
    <t>905 2 02 02012 02 0000 151</t>
  </si>
  <si>
    <t>Субсидии бюджетам субъектов Российской Федерации на поддержку элитного семеноводства</t>
  </si>
  <si>
    <t>905 2 02 02014 02 0000 151</t>
  </si>
  <si>
    <t>Субсидии бюджетам субъектов Российской Федерации на поддержку производства льна и конопли</t>
  </si>
  <si>
    <t>Субсидии бюджетам субъектов Российской Федерации  на закладку и уход за многолетними насаждениями</t>
  </si>
  <si>
    <t>905 2 02 02015 02 0000 151</t>
  </si>
  <si>
    <t>905 2 02 02017 02 0000 151</t>
  </si>
  <si>
    <t>Субсидии бюджетам субъектов Российской Федерации  на компенсацию части затрат по страхованию урожая сельскохозяйственных культур, урожая  многолетних насаждений  и посадок многолетних насаждений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</si>
  <si>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</si>
  <si>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905 2 02 02027 02 0000 151</t>
  </si>
  <si>
    <t>905 2 02 02028 02 0000 151</t>
  </si>
  <si>
    <t>Субсидии  бюджетам субъектов  Российской Федерации на компенсацию части затрат на приобретение средств химической защиты растений</t>
  </si>
  <si>
    <t>905 2 02 02039 02 0000 151</t>
  </si>
  <si>
    <t>Субсидии бюджетам субъектов Российской Федерации на поддержку племенного животноводства</t>
  </si>
  <si>
    <t>905 2 02 02029 02 0000 151</t>
  </si>
  <si>
    <t>Субсидии  бюджетам субъектов  Российской Федерации на развитие консультационной помощи</t>
  </si>
  <si>
    <t>905 2 02 02051 02 0000 151</t>
  </si>
  <si>
    <t>905 2 02 02064 02 0000 151</t>
  </si>
  <si>
    <t>Субсидии бюджетам субъектов Российской  Федерации на возмещение сельскохозяйственным товаропроизводителям, организациям агропромышленного комплекса  независимо от их  организационно-правовых  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2004 - 2010 годах на срок от 2 до 10 лет</t>
  </si>
  <si>
    <t xml:space="preserve">Субсидии бюджетам субъектов Российской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 полученным в сельскохозяйственных  кредитных потребительских  кооперативах в 2005-2010 годах на срок до 8 лет </t>
  </si>
  <si>
    <t>905 2 02 02085 02 0000 151</t>
  </si>
  <si>
    <t>Субсидии бюджетам субъектов Российской Федерации на улучшение жилищных условий граждан Российской Федерации, проживающих в сельской местности</t>
  </si>
  <si>
    <t>905 2 02 02082 02 0000 151</t>
  </si>
  <si>
    <t>Субсидии бюджетам субъектов Российской Федерации на компенсацию части затрат на приобретение средств химизации</t>
  </si>
  <si>
    <t>909 2 02 02007 02 0000 151</t>
  </si>
  <si>
    <t>Субсидии бюджетам субъектов Российской Федерации на предоставление гражданам субсидий на оплату жилого помещения и коммунальных услуг</t>
  </si>
  <si>
    <t>923 2 02 02008 02 0000 151</t>
  </si>
  <si>
    <t>Субсидии бюджетам субъектов Российской Федерации на обеспечение жильем молодых семей</t>
  </si>
  <si>
    <t>906 2 02 02002 02 0000 151</t>
  </si>
  <si>
    <t>Субсидии бюджетам субъектов Российской Федерации на реформирование региональных финансов</t>
  </si>
  <si>
    <t>920 2 02 02103 02 0000 151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</si>
  <si>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</si>
  <si>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оснащение государственных наркологических диспансеров специальным оборудованием</t>
  </si>
  <si>
    <t>901 2 02 02083 0000 151</t>
  </si>
  <si>
    <t>901 2 02 02110 02 0000 151</t>
  </si>
  <si>
    <t>912 2 02 02051 02 0000 151</t>
  </si>
  <si>
    <t>908 2 02 02078 02 0000 151</t>
  </si>
  <si>
    <t>Субсидии бюджетам субъектов Российской Федерации на бюджетные инвестиции для модернизации объектов коммунальной инфраструктуры</t>
  </si>
  <si>
    <t xml:space="preserve">924 2 02 02080 0000 151 </t>
  </si>
  <si>
    <t>924 2 02 03069 02 0000 151</t>
  </si>
  <si>
    <t>924 2 02 03070 02 0000 151</t>
  </si>
  <si>
    <t>Субсидии бюджетам субъектов Российской Федерации для обеспечения земельных участков коммунальной инфраструктурой в целях жилищного строительства</t>
  </si>
  <si>
    <t>905 2 02 02065 02 0000 151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</si>
  <si>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</si>
  <si>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927 2 02 04006 02 0000 151</t>
  </si>
  <si>
    <t>941 2 02 02009 02 0000 151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</si>
  <si>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</si>
  <si>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</si>
  <si>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Изменение</t>
  </si>
  <si>
    <t xml:space="preserve"> Изменение в Прогнозируемых доходах областного бюджета на 2009 год в соответствии  с классификацией доходов бюджетов Российской Федерации  (в тыс. руб.)</t>
  </si>
  <si>
    <t>План</t>
  </si>
  <si>
    <t>Проект</t>
  </si>
  <si>
    <t xml:space="preserve"> Субсидии бюджетам субъектов Российской Федерации на закупку оборудования для учреждений  здравоохранения субъектов  Российской Федерации и учреждений здравоохранения муниципальных образований, в целях реализации мероприятий, направленных на формирование здорового образа  жизни, включая сокращение потребления алкоголя и табака</t>
  </si>
  <si>
    <t>Изменение в %</t>
  </si>
  <si>
    <t>Вклад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</si>
</sst>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vertical="top" wrapText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3" fontId="3" fillId="0" borderId="10" xfId="0" applyNumberFormat="1" applyFont="1" applyFill="1" applyBorder="1" applyAlignment="1">
      <alignment/>
    </xf>
    <xf numFmtId="3" fontId="3" fillId="0" borderId="10" xfId="53" applyNumberFormat="1" applyFont="1" applyFill="1" applyBorder="1" applyAlignment="1" applyProtection="1">
      <alignment horizontal="right" wrapText="1"/>
      <protection hidden="1"/>
    </xf>
    <xf numFmtId="3" fontId="5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9" fontId="5" fillId="0" borderId="0" xfId="58" applyFont="1" applyFill="1" applyAlignment="1">
      <alignment/>
    </xf>
    <xf numFmtId="9" fontId="3" fillId="0" borderId="10" xfId="58" applyFont="1" applyFill="1" applyBorder="1" applyAlignment="1">
      <alignment horizontal="center" vertical="top" wrapText="1"/>
    </xf>
    <xf numFmtId="9" fontId="3" fillId="0" borderId="10" xfId="58" applyFont="1" applyFill="1" applyBorder="1" applyAlignment="1">
      <alignment wrapText="1"/>
    </xf>
    <xf numFmtId="9" fontId="5" fillId="0" borderId="10" xfId="58" applyFont="1" applyFill="1" applyBorder="1" applyAlignment="1">
      <alignment/>
    </xf>
    <xf numFmtId="9" fontId="6" fillId="0" borderId="10" xfId="58" applyFont="1" applyFill="1" applyBorder="1" applyAlignment="1">
      <alignment/>
    </xf>
    <xf numFmtId="9" fontId="5" fillId="0" borderId="10" xfId="58" applyFont="1" applyFill="1" applyBorder="1" applyAlignment="1">
      <alignment wrapText="1"/>
    </xf>
    <xf numFmtId="9" fontId="6" fillId="0" borderId="10" xfId="58" applyFont="1" applyFill="1" applyBorder="1" applyAlignment="1">
      <alignment wrapText="1"/>
    </xf>
    <xf numFmtId="9" fontId="3" fillId="0" borderId="10" xfId="58" applyFont="1" applyFill="1" applyBorder="1" applyAlignment="1">
      <alignment/>
    </xf>
    <xf numFmtId="9" fontId="3" fillId="0" borderId="10" xfId="58" applyFont="1" applyFill="1" applyBorder="1" applyAlignment="1">
      <alignment horizontal="right" vertical="top" wrapText="1"/>
    </xf>
    <xf numFmtId="9" fontId="6" fillId="0" borderId="10" xfId="58" applyFont="1" applyFill="1" applyBorder="1" applyAlignment="1">
      <alignment horizontal="right" wrapText="1"/>
    </xf>
    <xf numFmtId="9" fontId="3" fillId="0" borderId="10" xfId="58" applyFont="1" applyFill="1" applyBorder="1" applyAlignment="1">
      <alignment/>
    </xf>
    <xf numFmtId="9" fontId="3" fillId="0" borderId="10" xfId="58" applyFont="1" applyFill="1" applyBorder="1" applyAlignment="1" applyProtection="1">
      <alignment horizontal="right" wrapText="1"/>
      <protection hidden="1"/>
    </xf>
    <xf numFmtId="9" fontId="5" fillId="0" borderId="0" xfId="58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1"/>
  <sheetViews>
    <sheetView tabSelected="1" view="pageBreakPreview" zoomScale="79" zoomScaleSheetLayoutView="79" zoomScalePageLayoutView="0" workbookViewId="0" topLeftCell="A5">
      <selection activeCell="S142" sqref="S142"/>
    </sheetView>
  </sheetViews>
  <sheetFormatPr defaultColWidth="9.00390625" defaultRowHeight="12.75"/>
  <cols>
    <col min="1" max="1" width="35.125" style="3" customWidth="1"/>
    <col min="2" max="2" width="58.125" style="3" customWidth="1"/>
    <col min="3" max="3" width="11.25390625" style="5" hidden="1" customWidth="1"/>
    <col min="4" max="4" width="11.125" style="5" hidden="1" customWidth="1"/>
    <col min="5" max="5" width="11.25390625" style="5" hidden="1" customWidth="1"/>
    <col min="6" max="6" width="11.75390625" style="5" hidden="1" customWidth="1"/>
    <col min="7" max="13" width="12.25390625" style="5" hidden="1" customWidth="1"/>
    <col min="14" max="14" width="13.375" style="5" hidden="1" customWidth="1"/>
    <col min="15" max="15" width="13.75390625" style="5" hidden="1" customWidth="1"/>
    <col min="16" max="16" width="14.75390625" style="5" customWidth="1"/>
    <col min="17" max="17" width="11.125" style="5" hidden="1" customWidth="1"/>
    <col min="18" max="18" width="16.125" style="5" customWidth="1"/>
    <col min="19" max="19" width="15.25390625" style="5" customWidth="1"/>
    <col min="20" max="21" width="15.25390625" style="33" customWidth="1"/>
    <col min="22" max="16384" width="9.125" style="3" customWidth="1"/>
  </cols>
  <sheetData>
    <row r="1" spans="1:19" ht="18.75" hidden="1">
      <c r="A1" s="31" t="s">
        <v>240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"/>
    </row>
    <row r="2" spans="1:19" ht="18.75" hidden="1">
      <c r="A2" s="31" t="s">
        <v>183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/>
    </row>
    <row r="3" spans="1:19" ht="18.75" hidden="1">
      <c r="A3" s="31" t="s">
        <v>184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"/>
    </row>
    <row r="4" ht="18.75" hidden="1">
      <c r="A4" s="4"/>
    </row>
    <row r="5" spans="1:19" ht="62.25" customHeight="1">
      <c r="A5" s="32" t="s">
        <v>294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ht="18.75">
      <c r="A6" s="1"/>
    </row>
    <row r="7" spans="1:21" ht="75">
      <c r="A7" s="27" t="s">
        <v>41</v>
      </c>
      <c r="B7" s="27" t="s">
        <v>46</v>
      </c>
      <c r="C7" s="28" t="s">
        <v>179</v>
      </c>
      <c r="D7" s="28" t="s">
        <v>189</v>
      </c>
      <c r="E7" s="28" t="s">
        <v>179</v>
      </c>
      <c r="F7" s="28" t="s">
        <v>229</v>
      </c>
      <c r="G7" s="28" t="s">
        <v>239</v>
      </c>
      <c r="H7" s="28" t="s">
        <v>190</v>
      </c>
      <c r="I7" s="28" t="s">
        <v>189</v>
      </c>
      <c r="J7" s="28" t="s">
        <v>190</v>
      </c>
      <c r="K7" s="28" t="s">
        <v>191</v>
      </c>
      <c r="L7" s="28" t="s">
        <v>189</v>
      </c>
      <c r="M7" s="28" t="s">
        <v>191</v>
      </c>
      <c r="N7" s="28" t="s">
        <v>229</v>
      </c>
      <c r="O7" s="28" t="s">
        <v>239</v>
      </c>
      <c r="P7" s="28" t="s">
        <v>295</v>
      </c>
      <c r="Q7" s="28" t="s">
        <v>244</v>
      </c>
      <c r="R7" s="28" t="s">
        <v>296</v>
      </c>
      <c r="S7" s="28" t="s">
        <v>293</v>
      </c>
      <c r="T7" s="34" t="s">
        <v>298</v>
      </c>
      <c r="U7" s="34" t="s">
        <v>299</v>
      </c>
    </row>
    <row r="8" spans="1:21" ht="18.75" hidden="1">
      <c r="A8" s="6" t="s">
        <v>0</v>
      </c>
      <c r="B8" s="6" t="s">
        <v>170</v>
      </c>
      <c r="C8" s="7">
        <v>26164866</v>
      </c>
      <c r="D8" s="7">
        <f>D9+D13+D15+D17+D21+D23+D25+D34+D46+D48+D38+D41</f>
        <v>0</v>
      </c>
      <c r="E8" s="7">
        <f aca="true" t="shared" si="0" ref="E8:E50">C8+D8</f>
        <v>26164866</v>
      </c>
      <c r="F8" s="7">
        <f>F9+F13+F15+F17+F21+F23+F25+F34+F46+F48+F38+F41</f>
        <v>-2595000</v>
      </c>
      <c r="G8" s="7">
        <f aca="true" t="shared" si="1" ref="G8:G50">E8+F8</f>
        <v>23569866</v>
      </c>
      <c r="H8" s="7">
        <v>32619268</v>
      </c>
      <c r="I8" s="7">
        <v>0</v>
      </c>
      <c r="J8" s="7">
        <f>H8+I8</f>
        <v>32619268</v>
      </c>
      <c r="K8" s="7">
        <v>36701729</v>
      </c>
      <c r="L8" s="7">
        <v>0</v>
      </c>
      <c r="M8" s="7">
        <f>K8+L8</f>
        <v>36701729</v>
      </c>
      <c r="N8" s="7">
        <f>N9+N13+N15+N17+N21+N23+N25+N34+N46+N48+N38+N41</f>
        <v>0</v>
      </c>
      <c r="O8" s="7">
        <f>G8+N8</f>
        <v>23569866</v>
      </c>
      <c r="P8" s="7">
        <v>23569866</v>
      </c>
      <c r="Q8" s="7">
        <f>Q9+Q13+Q15+Q17+Q21+Q23+Q25+Q34+Q46+Q48+Q38+Q41</f>
        <v>0</v>
      </c>
      <c r="R8" s="7">
        <f>P8+Q8</f>
        <v>23569866</v>
      </c>
      <c r="S8" s="7">
        <f>R8-P8</f>
        <v>0</v>
      </c>
      <c r="T8" s="35"/>
      <c r="U8" s="35"/>
    </row>
    <row r="9" spans="1:21" ht="18.75" hidden="1">
      <c r="A9" s="6" t="s">
        <v>1</v>
      </c>
      <c r="B9" s="6" t="s">
        <v>2</v>
      </c>
      <c r="C9" s="7">
        <v>15864068</v>
      </c>
      <c r="D9" s="7">
        <f>D10+D12</f>
        <v>0</v>
      </c>
      <c r="E9" s="7">
        <f t="shared" si="0"/>
        <v>15864068</v>
      </c>
      <c r="F9" s="7">
        <f>F10+F12</f>
        <v>-3078500</v>
      </c>
      <c r="G9" s="7">
        <f t="shared" si="1"/>
        <v>12785568</v>
      </c>
      <c r="H9" s="7">
        <v>21996451</v>
      </c>
      <c r="I9" s="7">
        <v>0</v>
      </c>
      <c r="J9" s="7">
        <f aca="true" t="shared" si="2" ref="J9:J98">H9+I9</f>
        <v>21996451</v>
      </c>
      <c r="K9" s="7">
        <v>24862534</v>
      </c>
      <c r="L9" s="7">
        <v>0</v>
      </c>
      <c r="M9" s="7">
        <f aca="true" t="shared" si="3" ref="M9:M98">K9+L9</f>
        <v>24862534</v>
      </c>
      <c r="N9" s="7">
        <f>N10+N12</f>
        <v>0</v>
      </c>
      <c r="O9" s="7">
        <f aca="true" t="shared" si="4" ref="O9:O82">G9+N9</f>
        <v>12785568</v>
      </c>
      <c r="P9" s="7">
        <v>12785568</v>
      </c>
      <c r="Q9" s="7">
        <f>Q10+Q12</f>
        <v>0</v>
      </c>
      <c r="R9" s="7">
        <f aca="true" t="shared" si="5" ref="R9:R80">P9+Q9</f>
        <v>12785568</v>
      </c>
      <c r="S9" s="7">
        <f aca="true" t="shared" si="6" ref="S9:S72">R9-P9</f>
        <v>0</v>
      </c>
      <c r="T9" s="35"/>
      <c r="U9" s="35"/>
    </row>
    <row r="10" spans="1:21" ht="18.75" hidden="1">
      <c r="A10" s="8" t="s">
        <v>3</v>
      </c>
      <c r="B10" s="8" t="s">
        <v>4</v>
      </c>
      <c r="C10" s="9">
        <v>7860000</v>
      </c>
      <c r="D10" s="9">
        <f>D11</f>
        <v>0</v>
      </c>
      <c r="E10" s="9">
        <f t="shared" si="0"/>
        <v>7860000</v>
      </c>
      <c r="F10" s="9">
        <f>F11</f>
        <v>-1678500</v>
      </c>
      <c r="G10" s="9">
        <f t="shared" si="1"/>
        <v>6181500</v>
      </c>
      <c r="H10" s="9">
        <v>12450000</v>
      </c>
      <c r="I10" s="9">
        <v>0</v>
      </c>
      <c r="J10" s="9">
        <f t="shared" si="2"/>
        <v>12450000</v>
      </c>
      <c r="K10" s="9">
        <v>13655000</v>
      </c>
      <c r="L10" s="9">
        <v>0</v>
      </c>
      <c r="M10" s="9">
        <f t="shared" si="3"/>
        <v>13655000</v>
      </c>
      <c r="N10" s="9">
        <f>N11</f>
        <v>0</v>
      </c>
      <c r="O10" s="9">
        <f t="shared" si="4"/>
        <v>6181500</v>
      </c>
      <c r="P10" s="9">
        <v>6181500</v>
      </c>
      <c r="Q10" s="9">
        <f>Q11</f>
        <v>0</v>
      </c>
      <c r="R10" s="9">
        <f t="shared" si="5"/>
        <v>6181500</v>
      </c>
      <c r="S10" s="9">
        <f t="shared" si="6"/>
        <v>0</v>
      </c>
      <c r="T10" s="36"/>
      <c r="U10" s="36"/>
    </row>
    <row r="11" spans="1:21" ht="37.5" hidden="1">
      <c r="A11" s="10" t="s">
        <v>5</v>
      </c>
      <c r="B11" s="10" t="s">
        <v>51</v>
      </c>
      <c r="C11" s="11">
        <v>7860000</v>
      </c>
      <c r="D11" s="11"/>
      <c r="E11" s="11">
        <f t="shared" si="0"/>
        <v>7860000</v>
      </c>
      <c r="F11" s="11">
        <v>-1678500</v>
      </c>
      <c r="G11" s="11">
        <f t="shared" si="1"/>
        <v>6181500</v>
      </c>
      <c r="H11" s="11">
        <v>12450000</v>
      </c>
      <c r="I11" s="11"/>
      <c r="J11" s="11">
        <f t="shared" si="2"/>
        <v>12450000</v>
      </c>
      <c r="K11" s="11">
        <v>13655000</v>
      </c>
      <c r="L11" s="11"/>
      <c r="M11" s="11">
        <f t="shared" si="3"/>
        <v>13655000</v>
      </c>
      <c r="N11" s="11"/>
      <c r="O11" s="11">
        <f t="shared" si="4"/>
        <v>6181500</v>
      </c>
      <c r="P11" s="11">
        <v>6181500</v>
      </c>
      <c r="Q11" s="11"/>
      <c r="R11" s="11">
        <f t="shared" si="5"/>
        <v>6181500</v>
      </c>
      <c r="S11" s="11">
        <f t="shared" si="6"/>
        <v>0</v>
      </c>
      <c r="T11" s="37"/>
      <c r="U11" s="37"/>
    </row>
    <row r="12" spans="1:21" s="12" customFormat="1" ht="18.75" hidden="1">
      <c r="A12" s="8" t="s">
        <v>6</v>
      </c>
      <c r="B12" s="8" t="s">
        <v>7</v>
      </c>
      <c r="C12" s="9">
        <v>8004068</v>
      </c>
      <c r="D12" s="9"/>
      <c r="E12" s="9">
        <f t="shared" si="0"/>
        <v>8004068</v>
      </c>
      <c r="F12" s="9">
        <v>-1400000</v>
      </c>
      <c r="G12" s="9">
        <f t="shared" si="1"/>
        <v>6604068</v>
      </c>
      <c r="H12" s="9">
        <v>9546451</v>
      </c>
      <c r="I12" s="9"/>
      <c r="J12" s="9">
        <f t="shared" si="2"/>
        <v>9546451</v>
      </c>
      <c r="K12" s="9">
        <v>11207534</v>
      </c>
      <c r="L12" s="9"/>
      <c r="M12" s="9">
        <f t="shared" si="3"/>
        <v>11207534</v>
      </c>
      <c r="N12" s="9"/>
      <c r="O12" s="9">
        <f t="shared" si="4"/>
        <v>6604068</v>
      </c>
      <c r="P12" s="9">
        <v>6604068</v>
      </c>
      <c r="Q12" s="9"/>
      <c r="R12" s="9">
        <f t="shared" si="5"/>
        <v>6604068</v>
      </c>
      <c r="S12" s="9">
        <f t="shared" si="6"/>
        <v>0</v>
      </c>
      <c r="T12" s="36"/>
      <c r="U12" s="36"/>
    </row>
    <row r="13" spans="1:21" ht="56.25" hidden="1">
      <c r="A13" s="6" t="s">
        <v>104</v>
      </c>
      <c r="B13" s="6" t="s">
        <v>52</v>
      </c>
      <c r="C13" s="7">
        <v>3722800</v>
      </c>
      <c r="D13" s="7">
        <f>D14</f>
        <v>0</v>
      </c>
      <c r="E13" s="7">
        <f t="shared" si="0"/>
        <v>3722800</v>
      </c>
      <c r="F13" s="7">
        <f>F14</f>
        <v>475000</v>
      </c>
      <c r="G13" s="7">
        <f t="shared" si="1"/>
        <v>4197800</v>
      </c>
      <c r="H13" s="7">
        <v>4079000</v>
      </c>
      <c r="I13" s="7">
        <v>0</v>
      </c>
      <c r="J13" s="7">
        <f t="shared" si="2"/>
        <v>4079000</v>
      </c>
      <c r="K13" s="7">
        <v>4595400</v>
      </c>
      <c r="L13" s="7">
        <v>0</v>
      </c>
      <c r="M13" s="7">
        <f t="shared" si="3"/>
        <v>4595400</v>
      </c>
      <c r="N13" s="7">
        <f>N14</f>
        <v>0</v>
      </c>
      <c r="O13" s="7">
        <f t="shared" si="4"/>
        <v>4197800</v>
      </c>
      <c r="P13" s="7">
        <v>4197800</v>
      </c>
      <c r="Q13" s="7">
        <f>Q14</f>
        <v>0</v>
      </c>
      <c r="R13" s="7">
        <f t="shared" si="5"/>
        <v>4197800</v>
      </c>
      <c r="S13" s="7">
        <f t="shared" si="6"/>
        <v>0</v>
      </c>
      <c r="T13" s="35"/>
      <c r="U13" s="35"/>
    </row>
    <row r="14" spans="1:21" s="12" customFormat="1" ht="56.25" hidden="1">
      <c r="A14" s="8" t="s">
        <v>105</v>
      </c>
      <c r="B14" s="8" t="s">
        <v>53</v>
      </c>
      <c r="C14" s="9">
        <v>3722800</v>
      </c>
      <c r="D14" s="9"/>
      <c r="E14" s="9">
        <f t="shared" si="0"/>
        <v>3722800</v>
      </c>
      <c r="F14" s="9">
        <v>475000</v>
      </c>
      <c r="G14" s="9">
        <f t="shared" si="1"/>
        <v>4197800</v>
      </c>
      <c r="H14" s="9">
        <v>4079000</v>
      </c>
      <c r="I14" s="9"/>
      <c r="J14" s="9">
        <f t="shared" si="2"/>
        <v>4079000</v>
      </c>
      <c r="K14" s="9">
        <v>4595400</v>
      </c>
      <c r="L14" s="9"/>
      <c r="M14" s="9">
        <f t="shared" si="3"/>
        <v>4595400</v>
      </c>
      <c r="N14" s="9"/>
      <c r="O14" s="9">
        <f t="shared" si="4"/>
        <v>4197800</v>
      </c>
      <c r="P14" s="9">
        <v>4197800</v>
      </c>
      <c r="Q14" s="9"/>
      <c r="R14" s="9">
        <f t="shared" si="5"/>
        <v>4197800</v>
      </c>
      <c r="S14" s="9">
        <f t="shared" si="6"/>
        <v>0</v>
      </c>
      <c r="T14" s="36"/>
      <c r="U14" s="36"/>
    </row>
    <row r="15" spans="1:21" ht="18.75" hidden="1">
      <c r="A15" s="6" t="s">
        <v>8</v>
      </c>
      <c r="B15" s="6" t="s">
        <v>9</v>
      </c>
      <c r="C15" s="7">
        <v>1252400</v>
      </c>
      <c r="D15" s="7">
        <f>D16</f>
        <v>0</v>
      </c>
      <c r="E15" s="7">
        <f t="shared" si="0"/>
        <v>1252400</v>
      </c>
      <c r="F15" s="7">
        <f>F16</f>
        <v>0</v>
      </c>
      <c r="G15" s="7">
        <f t="shared" si="1"/>
        <v>1252400</v>
      </c>
      <c r="H15" s="7">
        <v>1252560</v>
      </c>
      <c r="I15" s="7">
        <v>0</v>
      </c>
      <c r="J15" s="7">
        <f t="shared" si="2"/>
        <v>1252560</v>
      </c>
      <c r="K15" s="7">
        <v>1411640</v>
      </c>
      <c r="L15" s="7">
        <v>0</v>
      </c>
      <c r="M15" s="7">
        <f t="shared" si="3"/>
        <v>1411640</v>
      </c>
      <c r="N15" s="7">
        <f>N16</f>
        <v>0</v>
      </c>
      <c r="O15" s="7">
        <f t="shared" si="4"/>
        <v>1252400</v>
      </c>
      <c r="P15" s="7">
        <v>1252400</v>
      </c>
      <c r="Q15" s="7">
        <f>Q16</f>
        <v>0</v>
      </c>
      <c r="R15" s="7">
        <f t="shared" si="5"/>
        <v>1252400</v>
      </c>
      <c r="S15" s="7">
        <f t="shared" si="6"/>
        <v>0</v>
      </c>
      <c r="T15" s="35"/>
      <c r="U15" s="35"/>
    </row>
    <row r="16" spans="1:21" s="12" customFormat="1" ht="37.5" hidden="1">
      <c r="A16" s="8" t="s">
        <v>59</v>
      </c>
      <c r="B16" s="8" t="s">
        <v>106</v>
      </c>
      <c r="C16" s="13">
        <v>1252400</v>
      </c>
      <c r="D16" s="13"/>
      <c r="E16" s="13">
        <f t="shared" si="0"/>
        <v>1252400</v>
      </c>
      <c r="F16" s="13"/>
      <c r="G16" s="13">
        <f t="shared" si="1"/>
        <v>1252400</v>
      </c>
      <c r="H16" s="13">
        <v>1252560</v>
      </c>
      <c r="I16" s="13"/>
      <c r="J16" s="13">
        <f t="shared" si="2"/>
        <v>1252560</v>
      </c>
      <c r="K16" s="13">
        <v>1411640</v>
      </c>
      <c r="L16" s="13"/>
      <c r="M16" s="13">
        <f t="shared" si="3"/>
        <v>1411640</v>
      </c>
      <c r="N16" s="13"/>
      <c r="O16" s="13">
        <f t="shared" si="4"/>
        <v>1252400</v>
      </c>
      <c r="P16" s="13">
        <v>1252400</v>
      </c>
      <c r="Q16" s="13"/>
      <c r="R16" s="13">
        <f t="shared" si="5"/>
        <v>1252400</v>
      </c>
      <c r="S16" s="13">
        <f t="shared" si="6"/>
        <v>0</v>
      </c>
      <c r="T16" s="38"/>
      <c r="U16" s="38"/>
    </row>
    <row r="17" spans="1:21" ht="18.75" hidden="1">
      <c r="A17" s="6" t="s">
        <v>10</v>
      </c>
      <c r="B17" s="6" t="s">
        <v>11</v>
      </c>
      <c r="C17" s="7">
        <v>4148100</v>
      </c>
      <c r="D17" s="7">
        <f>D18+D19+D20</f>
        <v>0</v>
      </c>
      <c r="E17" s="7">
        <f t="shared" si="0"/>
        <v>4148100</v>
      </c>
      <c r="F17" s="7">
        <f>F18+F19+F20</f>
        <v>0</v>
      </c>
      <c r="G17" s="7">
        <f t="shared" si="1"/>
        <v>4148100</v>
      </c>
      <c r="H17" s="7">
        <v>4615400</v>
      </c>
      <c r="I17" s="7">
        <v>0</v>
      </c>
      <c r="J17" s="7">
        <f t="shared" si="2"/>
        <v>4615400</v>
      </c>
      <c r="K17" s="7">
        <v>5137600</v>
      </c>
      <c r="L17" s="7">
        <v>0</v>
      </c>
      <c r="M17" s="7">
        <f t="shared" si="3"/>
        <v>5137600</v>
      </c>
      <c r="N17" s="7">
        <f>N18+N19+N20</f>
        <v>0</v>
      </c>
      <c r="O17" s="7">
        <f t="shared" si="4"/>
        <v>4148100</v>
      </c>
      <c r="P17" s="7">
        <v>4148100</v>
      </c>
      <c r="Q17" s="7">
        <f>Q18+Q19+Q20</f>
        <v>0</v>
      </c>
      <c r="R17" s="7">
        <f t="shared" si="5"/>
        <v>4148100</v>
      </c>
      <c r="S17" s="7">
        <f t="shared" si="6"/>
        <v>0</v>
      </c>
      <c r="T17" s="35"/>
      <c r="U17" s="35"/>
    </row>
    <row r="18" spans="1:21" s="12" customFormat="1" ht="18.75" hidden="1">
      <c r="A18" s="8" t="s">
        <v>12</v>
      </c>
      <c r="B18" s="8" t="s">
        <v>13</v>
      </c>
      <c r="C18" s="9">
        <v>3496100</v>
      </c>
      <c r="D18" s="9"/>
      <c r="E18" s="9">
        <f t="shared" si="0"/>
        <v>3496100</v>
      </c>
      <c r="F18" s="9"/>
      <c r="G18" s="9">
        <f t="shared" si="1"/>
        <v>3496100</v>
      </c>
      <c r="H18" s="9">
        <v>4080400</v>
      </c>
      <c r="I18" s="9"/>
      <c r="J18" s="9">
        <f t="shared" si="2"/>
        <v>4080400</v>
      </c>
      <c r="K18" s="9">
        <v>4584600</v>
      </c>
      <c r="L18" s="9"/>
      <c r="M18" s="9">
        <f t="shared" si="3"/>
        <v>4584600</v>
      </c>
      <c r="N18" s="9"/>
      <c r="O18" s="9">
        <f t="shared" si="4"/>
        <v>3496100</v>
      </c>
      <c r="P18" s="9">
        <v>3496100</v>
      </c>
      <c r="Q18" s="9"/>
      <c r="R18" s="9">
        <f t="shared" si="5"/>
        <v>3496100</v>
      </c>
      <c r="S18" s="9">
        <f t="shared" si="6"/>
        <v>0</v>
      </c>
      <c r="T18" s="36"/>
      <c r="U18" s="36"/>
    </row>
    <row r="19" spans="1:21" s="12" customFormat="1" ht="18.75" hidden="1">
      <c r="A19" s="8" t="s">
        <v>14</v>
      </c>
      <c r="B19" s="8" t="s">
        <v>15</v>
      </c>
      <c r="C19" s="13">
        <v>471000</v>
      </c>
      <c r="D19" s="13"/>
      <c r="E19" s="13">
        <f t="shared" si="0"/>
        <v>471000</v>
      </c>
      <c r="F19" s="13"/>
      <c r="G19" s="13">
        <f t="shared" si="1"/>
        <v>471000</v>
      </c>
      <c r="H19" s="13">
        <v>535000</v>
      </c>
      <c r="I19" s="13"/>
      <c r="J19" s="13">
        <f t="shared" si="2"/>
        <v>535000</v>
      </c>
      <c r="K19" s="13">
        <v>553000</v>
      </c>
      <c r="L19" s="13"/>
      <c r="M19" s="13">
        <f t="shared" si="3"/>
        <v>553000</v>
      </c>
      <c r="N19" s="13"/>
      <c r="O19" s="13">
        <f t="shared" si="4"/>
        <v>471000</v>
      </c>
      <c r="P19" s="13">
        <v>471000</v>
      </c>
      <c r="Q19" s="13"/>
      <c r="R19" s="13">
        <f t="shared" si="5"/>
        <v>471000</v>
      </c>
      <c r="S19" s="13">
        <f t="shared" si="6"/>
        <v>0</v>
      </c>
      <c r="T19" s="38"/>
      <c r="U19" s="38"/>
    </row>
    <row r="20" spans="1:21" ht="18.75" hidden="1">
      <c r="A20" s="8" t="s">
        <v>57</v>
      </c>
      <c r="B20" s="8" t="s">
        <v>16</v>
      </c>
      <c r="C20" s="13">
        <v>181000</v>
      </c>
      <c r="D20" s="13"/>
      <c r="E20" s="13">
        <f t="shared" si="0"/>
        <v>181000</v>
      </c>
      <c r="F20" s="13"/>
      <c r="G20" s="13">
        <f t="shared" si="1"/>
        <v>181000</v>
      </c>
      <c r="H20" s="13"/>
      <c r="I20" s="13"/>
      <c r="J20" s="13">
        <f t="shared" si="2"/>
        <v>0</v>
      </c>
      <c r="K20" s="13"/>
      <c r="L20" s="13"/>
      <c r="M20" s="13">
        <f t="shared" si="3"/>
        <v>0</v>
      </c>
      <c r="N20" s="13"/>
      <c r="O20" s="13">
        <f t="shared" si="4"/>
        <v>181000</v>
      </c>
      <c r="P20" s="13">
        <v>181000</v>
      </c>
      <c r="Q20" s="13"/>
      <c r="R20" s="13">
        <f t="shared" si="5"/>
        <v>181000</v>
      </c>
      <c r="S20" s="13">
        <f t="shared" si="6"/>
        <v>0</v>
      </c>
      <c r="T20" s="38"/>
      <c r="U20" s="38"/>
    </row>
    <row r="21" spans="1:21" ht="37.5" hidden="1">
      <c r="A21" s="6" t="s">
        <v>17</v>
      </c>
      <c r="B21" s="6" t="s">
        <v>18</v>
      </c>
      <c r="C21" s="7">
        <v>3000</v>
      </c>
      <c r="D21" s="7">
        <f>D22</f>
        <v>0</v>
      </c>
      <c r="E21" s="7">
        <f t="shared" si="0"/>
        <v>3000</v>
      </c>
      <c r="F21" s="7">
        <f>F22</f>
        <v>0</v>
      </c>
      <c r="G21" s="7">
        <f t="shared" si="1"/>
        <v>3000</v>
      </c>
      <c r="H21" s="7">
        <v>3000</v>
      </c>
      <c r="I21" s="7">
        <v>0</v>
      </c>
      <c r="J21" s="7">
        <f t="shared" si="2"/>
        <v>3000</v>
      </c>
      <c r="K21" s="7">
        <v>3000</v>
      </c>
      <c r="L21" s="7">
        <v>0</v>
      </c>
      <c r="M21" s="7">
        <f t="shared" si="3"/>
        <v>3000</v>
      </c>
      <c r="N21" s="7">
        <f>N22</f>
        <v>0</v>
      </c>
      <c r="O21" s="7">
        <f t="shared" si="4"/>
        <v>3000</v>
      </c>
      <c r="P21" s="7">
        <v>3000</v>
      </c>
      <c r="Q21" s="7">
        <f>Q22</f>
        <v>0</v>
      </c>
      <c r="R21" s="7">
        <f t="shared" si="5"/>
        <v>3000</v>
      </c>
      <c r="S21" s="7">
        <f t="shared" si="6"/>
        <v>0</v>
      </c>
      <c r="T21" s="35"/>
      <c r="U21" s="35"/>
    </row>
    <row r="22" spans="1:21" ht="37.5" hidden="1">
      <c r="A22" s="8" t="s">
        <v>49</v>
      </c>
      <c r="B22" s="8" t="s">
        <v>47</v>
      </c>
      <c r="C22" s="13">
        <v>3000</v>
      </c>
      <c r="D22" s="13"/>
      <c r="E22" s="13">
        <f t="shared" si="0"/>
        <v>3000</v>
      </c>
      <c r="F22" s="13"/>
      <c r="G22" s="13">
        <f t="shared" si="1"/>
        <v>3000</v>
      </c>
      <c r="H22" s="13">
        <v>3000</v>
      </c>
      <c r="I22" s="13"/>
      <c r="J22" s="13">
        <f t="shared" si="2"/>
        <v>3000</v>
      </c>
      <c r="K22" s="13">
        <v>3000</v>
      </c>
      <c r="L22" s="13"/>
      <c r="M22" s="13">
        <f t="shared" si="3"/>
        <v>3000</v>
      </c>
      <c r="N22" s="13"/>
      <c r="O22" s="13">
        <f t="shared" si="4"/>
        <v>3000</v>
      </c>
      <c r="P22" s="13">
        <v>3000</v>
      </c>
      <c r="Q22" s="13"/>
      <c r="R22" s="13">
        <f t="shared" si="5"/>
        <v>3000</v>
      </c>
      <c r="S22" s="13">
        <f t="shared" si="6"/>
        <v>0</v>
      </c>
      <c r="T22" s="38"/>
      <c r="U22" s="38"/>
    </row>
    <row r="23" spans="1:21" ht="18.75" hidden="1">
      <c r="A23" s="6" t="s">
        <v>33</v>
      </c>
      <c r="B23" s="6" t="s">
        <v>103</v>
      </c>
      <c r="C23" s="7">
        <v>2414</v>
      </c>
      <c r="D23" s="7">
        <f>D24</f>
        <v>0</v>
      </c>
      <c r="E23" s="7">
        <f t="shared" si="0"/>
        <v>2414</v>
      </c>
      <c r="F23" s="7">
        <f>F24</f>
        <v>0</v>
      </c>
      <c r="G23" s="7">
        <f t="shared" si="1"/>
        <v>2414</v>
      </c>
      <c r="H23" s="7">
        <v>2531</v>
      </c>
      <c r="I23" s="7">
        <v>0</v>
      </c>
      <c r="J23" s="7">
        <f t="shared" si="2"/>
        <v>2531</v>
      </c>
      <c r="K23" s="7">
        <v>2549</v>
      </c>
      <c r="L23" s="7">
        <v>0</v>
      </c>
      <c r="M23" s="7">
        <f t="shared" si="3"/>
        <v>2549</v>
      </c>
      <c r="N23" s="7">
        <f>N24</f>
        <v>0</v>
      </c>
      <c r="O23" s="7">
        <f t="shared" si="4"/>
        <v>2414</v>
      </c>
      <c r="P23" s="7">
        <v>2414</v>
      </c>
      <c r="Q23" s="7">
        <f>Q24</f>
        <v>0</v>
      </c>
      <c r="R23" s="7">
        <f t="shared" si="5"/>
        <v>2414</v>
      </c>
      <c r="S23" s="7">
        <f t="shared" si="6"/>
        <v>0</v>
      </c>
      <c r="T23" s="35"/>
      <c r="U23" s="35"/>
    </row>
    <row r="24" spans="1:21" s="12" customFormat="1" ht="56.25" hidden="1">
      <c r="A24" s="8" t="s">
        <v>50</v>
      </c>
      <c r="B24" s="8" t="s">
        <v>48</v>
      </c>
      <c r="C24" s="13">
        <v>2414</v>
      </c>
      <c r="D24" s="13"/>
      <c r="E24" s="13">
        <f t="shared" si="0"/>
        <v>2414</v>
      </c>
      <c r="F24" s="13"/>
      <c r="G24" s="13">
        <f t="shared" si="1"/>
        <v>2414</v>
      </c>
      <c r="H24" s="13">
        <v>2531</v>
      </c>
      <c r="I24" s="13"/>
      <c r="J24" s="13">
        <f t="shared" si="2"/>
        <v>2531</v>
      </c>
      <c r="K24" s="13">
        <v>2549</v>
      </c>
      <c r="L24" s="13"/>
      <c r="M24" s="13">
        <f t="shared" si="3"/>
        <v>2549</v>
      </c>
      <c r="N24" s="13"/>
      <c r="O24" s="13">
        <f t="shared" si="4"/>
        <v>2414</v>
      </c>
      <c r="P24" s="13">
        <v>2414</v>
      </c>
      <c r="Q24" s="13"/>
      <c r="R24" s="13">
        <f t="shared" si="5"/>
        <v>2414</v>
      </c>
      <c r="S24" s="13">
        <f t="shared" si="6"/>
        <v>0</v>
      </c>
      <c r="T24" s="38"/>
      <c r="U24" s="38"/>
    </row>
    <row r="25" spans="1:21" ht="56.25" hidden="1">
      <c r="A25" s="6" t="s">
        <v>19</v>
      </c>
      <c r="B25" s="6" t="s">
        <v>20</v>
      </c>
      <c r="C25" s="7">
        <v>426565</v>
      </c>
      <c r="D25" s="7">
        <f>D26+D27+D28+D32</f>
        <v>0</v>
      </c>
      <c r="E25" s="7">
        <f t="shared" si="0"/>
        <v>426565</v>
      </c>
      <c r="F25" s="7">
        <f>F26+F27+F28+F32</f>
        <v>0</v>
      </c>
      <c r="G25" s="7">
        <f t="shared" si="1"/>
        <v>426565</v>
      </c>
      <c r="H25" s="7">
        <v>409465</v>
      </c>
      <c r="I25" s="7">
        <v>0</v>
      </c>
      <c r="J25" s="7">
        <f t="shared" si="2"/>
        <v>409465</v>
      </c>
      <c r="K25" s="7">
        <v>408565</v>
      </c>
      <c r="L25" s="7">
        <v>0</v>
      </c>
      <c r="M25" s="7">
        <f t="shared" si="3"/>
        <v>408565</v>
      </c>
      <c r="N25" s="7">
        <f>N26+N27+N28+N32</f>
        <v>0</v>
      </c>
      <c r="O25" s="7">
        <f t="shared" si="4"/>
        <v>426565</v>
      </c>
      <c r="P25" s="7">
        <v>426565</v>
      </c>
      <c r="Q25" s="7">
        <f>Q26+Q27+Q28+Q32</f>
        <v>0</v>
      </c>
      <c r="R25" s="7">
        <f t="shared" si="5"/>
        <v>426565</v>
      </c>
      <c r="S25" s="7">
        <f t="shared" si="6"/>
        <v>0</v>
      </c>
      <c r="T25" s="35"/>
      <c r="U25" s="35"/>
    </row>
    <row r="26" spans="1:21" s="12" customFormat="1" ht="93.75" hidden="1">
      <c r="A26" s="8" t="s">
        <v>42</v>
      </c>
      <c r="B26" s="8" t="s">
        <v>68</v>
      </c>
      <c r="C26" s="13">
        <v>300</v>
      </c>
      <c r="D26" s="13"/>
      <c r="E26" s="13">
        <f t="shared" si="0"/>
        <v>300</v>
      </c>
      <c r="F26" s="13"/>
      <c r="G26" s="13">
        <f t="shared" si="1"/>
        <v>300</v>
      </c>
      <c r="H26" s="13">
        <v>300</v>
      </c>
      <c r="I26" s="13"/>
      <c r="J26" s="13">
        <f t="shared" si="2"/>
        <v>300</v>
      </c>
      <c r="K26" s="13">
        <v>300</v>
      </c>
      <c r="L26" s="13"/>
      <c r="M26" s="13">
        <f t="shared" si="3"/>
        <v>300</v>
      </c>
      <c r="N26" s="13"/>
      <c r="O26" s="13">
        <f t="shared" si="4"/>
        <v>300</v>
      </c>
      <c r="P26" s="13">
        <v>300</v>
      </c>
      <c r="Q26" s="13"/>
      <c r="R26" s="13">
        <f t="shared" si="5"/>
        <v>300</v>
      </c>
      <c r="S26" s="13">
        <f t="shared" si="6"/>
        <v>0</v>
      </c>
      <c r="T26" s="38"/>
      <c r="U26" s="38"/>
    </row>
    <row r="27" spans="1:21" s="12" customFormat="1" ht="75" hidden="1">
      <c r="A27" s="8" t="s">
        <v>43</v>
      </c>
      <c r="B27" s="8" t="s">
        <v>54</v>
      </c>
      <c r="C27" s="13">
        <v>2765</v>
      </c>
      <c r="D27" s="13"/>
      <c r="E27" s="13">
        <f t="shared" si="0"/>
        <v>2765</v>
      </c>
      <c r="F27" s="13"/>
      <c r="G27" s="13">
        <f t="shared" si="1"/>
        <v>2765</v>
      </c>
      <c r="H27" s="13">
        <v>2765</v>
      </c>
      <c r="I27" s="13"/>
      <c r="J27" s="13">
        <f t="shared" si="2"/>
        <v>2765</v>
      </c>
      <c r="K27" s="13">
        <v>2765</v>
      </c>
      <c r="L27" s="13"/>
      <c r="M27" s="13">
        <f t="shared" si="3"/>
        <v>2765</v>
      </c>
      <c r="N27" s="13"/>
      <c r="O27" s="13">
        <f t="shared" si="4"/>
        <v>2765</v>
      </c>
      <c r="P27" s="13">
        <v>2765</v>
      </c>
      <c r="Q27" s="13"/>
      <c r="R27" s="13">
        <f t="shared" si="5"/>
        <v>2765</v>
      </c>
      <c r="S27" s="13">
        <f t="shared" si="6"/>
        <v>0</v>
      </c>
      <c r="T27" s="38"/>
      <c r="U27" s="38"/>
    </row>
    <row r="28" spans="1:21" ht="150" hidden="1">
      <c r="A28" s="8" t="s">
        <v>34</v>
      </c>
      <c r="B28" s="8" t="s">
        <v>109</v>
      </c>
      <c r="C28" s="9">
        <v>421000</v>
      </c>
      <c r="D28" s="9">
        <f>D29+D30+D31</f>
        <v>0</v>
      </c>
      <c r="E28" s="9">
        <f t="shared" si="0"/>
        <v>421000</v>
      </c>
      <c r="F28" s="9">
        <f>F29+F30+F31</f>
        <v>0</v>
      </c>
      <c r="G28" s="9">
        <f t="shared" si="1"/>
        <v>421000</v>
      </c>
      <c r="H28" s="9">
        <v>403900</v>
      </c>
      <c r="I28" s="9">
        <v>0</v>
      </c>
      <c r="J28" s="9">
        <f t="shared" si="2"/>
        <v>403900</v>
      </c>
      <c r="K28" s="9">
        <v>403000</v>
      </c>
      <c r="L28" s="9">
        <v>0</v>
      </c>
      <c r="M28" s="9">
        <f t="shared" si="3"/>
        <v>403000</v>
      </c>
      <c r="N28" s="9">
        <f>N29+N30+N31</f>
        <v>0</v>
      </c>
      <c r="O28" s="9">
        <f t="shared" si="4"/>
        <v>421000</v>
      </c>
      <c r="P28" s="9">
        <v>421000</v>
      </c>
      <c r="Q28" s="9">
        <f>Q29+Q30+Q31</f>
        <v>0</v>
      </c>
      <c r="R28" s="9">
        <f t="shared" si="5"/>
        <v>421000</v>
      </c>
      <c r="S28" s="9">
        <f t="shared" si="6"/>
        <v>0</v>
      </c>
      <c r="T28" s="36"/>
      <c r="U28" s="36"/>
    </row>
    <row r="29" spans="1:21" s="12" customFormat="1" ht="131.25" hidden="1">
      <c r="A29" s="8" t="s">
        <v>150</v>
      </c>
      <c r="B29" s="10" t="s">
        <v>151</v>
      </c>
      <c r="C29" s="14">
        <v>390000</v>
      </c>
      <c r="D29" s="14"/>
      <c r="E29" s="14">
        <f t="shared" si="0"/>
        <v>390000</v>
      </c>
      <c r="F29" s="14"/>
      <c r="G29" s="14">
        <f t="shared" si="1"/>
        <v>390000</v>
      </c>
      <c r="H29" s="14">
        <v>375000</v>
      </c>
      <c r="I29" s="14"/>
      <c r="J29" s="14">
        <f t="shared" si="2"/>
        <v>375000</v>
      </c>
      <c r="K29" s="14">
        <v>375000</v>
      </c>
      <c r="L29" s="14"/>
      <c r="M29" s="14">
        <f t="shared" si="3"/>
        <v>375000</v>
      </c>
      <c r="N29" s="14"/>
      <c r="O29" s="14">
        <f t="shared" si="4"/>
        <v>390000</v>
      </c>
      <c r="P29" s="14">
        <v>390000</v>
      </c>
      <c r="Q29" s="14"/>
      <c r="R29" s="14">
        <f t="shared" si="5"/>
        <v>390000</v>
      </c>
      <c r="S29" s="14">
        <f t="shared" si="6"/>
        <v>0</v>
      </c>
      <c r="T29" s="39"/>
      <c r="U29" s="39"/>
    </row>
    <row r="30" spans="1:21" s="12" customFormat="1" ht="131.25" hidden="1">
      <c r="A30" s="8" t="s">
        <v>152</v>
      </c>
      <c r="B30" s="10" t="s">
        <v>153</v>
      </c>
      <c r="C30" s="11">
        <v>10000</v>
      </c>
      <c r="D30" s="11"/>
      <c r="E30" s="11">
        <f t="shared" si="0"/>
        <v>10000</v>
      </c>
      <c r="F30" s="11"/>
      <c r="G30" s="11">
        <f t="shared" si="1"/>
        <v>10000</v>
      </c>
      <c r="H30" s="11">
        <v>10000</v>
      </c>
      <c r="I30" s="11"/>
      <c r="J30" s="11">
        <f t="shared" si="2"/>
        <v>10000</v>
      </c>
      <c r="K30" s="11">
        <v>10000</v>
      </c>
      <c r="L30" s="11"/>
      <c r="M30" s="11">
        <f t="shared" si="3"/>
        <v>10000</v>
      </c>
      <c r="N30" s="11"/>
      <c r="O30" s="11">
        <f t="shared" si="4"/>
        <v>10000</v>
      </c>
      <c r="P30" s="11">
        <v>10000</v>
      </c>
      <c r="Q30" s="11"/>
      <c r="R30" s="11">
        <f t="shared" si="5"/>
        <v>10000</v>
      </c>
      <c r="S30" s="11">
        <f t="shared" si="6"/>
        <v>0</v>
      </c>
      <c r="T30" s="37"/>
      <c r="U30" s="37"/>
    </row>
    <row r="31" spans="1:21" ht="131.25" hidden="1">
      <c r="A31" s="10" t="s">
        <v>44</v>
      </c>
      <c r="B31" s="10" t="s">
        <v>110</v>
      </c>
      <c r="C31" s="14">
        <v>21000</v>
      </c>
      <c r="D31" s="14"/>
      <c r="E31" s="14">
        <f t="shared" si="0"/>
        <v>21000</v>
      </c>
      <c r="F31" s="14"/>
      <c r="G31" s="14">
        <f t="shared" si="1"/>
        <v>21000</v>
      </c>
      <c r="H31" s="14">
        <v>18900</v>
      </c>
      <c r="I31" s="14"/>
      <c r="J31" s="14">
        <f t="shared" si="2"/>
        <v>18900</v>
      </c>
      <c r="K31" s="14">
        <v>18000</v>
      </c>
      <c r="L31" s="14"/>
      <c r="M31" s="14">
        <f t="shared" si="3"/>
        <v>18000</v>
      </c>
      <c r="N31" s="14"/>
      <c r="O31" s="14">
        <f t="shared" si="4"/>
        <v>21000</v>
      </c>
      <c r="P31" s="14">
        <v>21000</v>
      </c>
      <c r="Q31" s="14"/>
      <c r="R31" s="14">
        <f t="shared" si="5"/>
        <v>21000</v>
      </c>
      <c r="S31" s="14">
        <f t="shared" si="6"/>
        <v>0</v>
      </c>
      <c r="T31" s="39"/>
      <c r="U31" s="39"/>
    </row>
    <row r="32" spans="1:21" ht="37.5" hidden="1">
      <c r="A32" s="8" t="s">
        <v>172</v>
      </c>
      <c r="B32" s="8" t="s">
        <v>173</v>
      </c>
      <c r="C32" s="13">
        <v>2500</v>
      </c>
      <c r="D32" s="13"/>
      <c r="E32" s="13">
        <f t="shared" si="0"/>
        <v>2500</v>
      </c>
      <c r="F32" s="13"/>
      <c r="G32" s="13">
        <f t="shared" si="1"/>
        <v>2500</v>
      </c>
      <c r="H32" s="13">
        <v>2500</v>
      </c>
      <c r="I32" s="13"/>
      <c r="J32" s="13">
        <f t="shared" si="2"/>
        <v>2500</v>
      </c>
      <c r="K32" s="13">
        <v>2500</v>
      </c>
      <c r="L32" s="13"/>
      <c r="M32" s="13">
        <f t="shared" si="3"/>
        <v>2500</v>
      </c>
      <c r="N32" s="13"/>
      <c r="O32" s="13">
        <f t="shared" si="4"/>
        <v>2500</v>
      </c>
      <c r="P32" s="13">
        <v>2500</v>
      </c>
      <c r="Q32" s="13"/>
      <c r="R32" s="13">
        <f t="shared" si="5"/>
        <v>2500</v>
      </c>
      <c r="S32" s="13">
        <f t="shared" si="6"/>
        <v>0</v>
      </c>
      <c r="T32" s="38"/>
      <c r="U32" s="38"/>
    </row>
    <row r="33" spans="1:21" ht="93.75" hidden="1">
      <c r="A33" s="10" t="s">
        <v>45</v>
      </c>
      <c r="B33" s="10" t="s">
        <v>55</v>
      </c>
      <c r="C33" s="14">
        <v>2500</v>
      </c>
      <c r="D33" s="14"/>
      <c r="E33" s="14">
        <f t="shared" si="0"/>
        <v>2500</v>
      </c>
      <c r="F33" s="14"/>
      <c r="G33" s="14">
        <f t="shared" si="1"/>
        <v>2500</v>
      </c>
      <c r="H33" s="14">
        <v>2500</v>
      </c>
      <c r="I33" s="14"/>
      <c r="J33" s="14">
        <f t="shared" si="2"/>
        <v>2500</v>
      </c>
      <c r="K33" s="14">
        <v>2500</v>
      </c>
      <c r="L33" s="14"/>
      <c r="M33" s="14">
        <f t="shared" si="3"/>
        <v>2500</v>
      </c>
      <c r="N33" s="14"/>
      <c r="O33" s="14">
        <f t="shared" si="4"/>
        <v>2500</v>
      </c>
      <c r="P33" s="14">
        <v>2500</v>
      </c>
      <c r="Q33" s="14"/>
      <c r="R33" s="14">
        <f t="shared" si="5"/>
        <v>2500</v>
      </c>
      <c r="S33" s="14">
        <f t="shared" si="6"/>
        <v>0</v>
      </c>
      <c r="T33" s="39"/>
      <c r="U33" s="39"/>
    </row>
    <row r="34" spans="1:21" ht="37.5" hidden="1">
      <c r="A34" s="6" t="s">
        <v>21</v>
      </c>
      <c r="B34" s="6" t="s">
        <v>22</v>
      </c>
      <c r="C34" s="7">
        <v>74712</v>
      </c>
      <c r="D34" s="7">
        <f>D35+D37+D36</f>
        <v>0</v>
      </c>
      <c r="E34" s="7">
        <f t="shared" si="0"/>
        <v>74712</v>
      </c>
      <c r="F34" s="7">
        <f>F35+F37+F36</f>
        <v>0</v>
      </c>
      <c r="G34" s="7">
        <f t="shared" si="1"/>
        <v>74712</v>
      </c>
      <c r="H34" s="7">
        <v>80498</v>
      </c>
      <c r="I34" s="7">
        <v>0</v>
      </c>
      <c r="J34" s="7">
        <f t="shared" si="2"/>
        <v>80498</v>
      </c>
      <c r="K34" s="7">
        <v>86741</v>
      </c>
      <c r="L34" s="7">
        <v>0</v>
      </c>
      <c r="M34" s="7">
        <f t="shared" si="3"/>
        <v>86741</v>
      </c>
      <c r="N34" s="7">
        <f>N35+N37+N36</f>
        <v>0</v>
      </c>
      <c r="O34" s="7">
        <f t="shared" si="4"/>
        <v>74712</v>
      </c>
      <c r="P34" s="7">
        <v>74712</v>
      </c>
      <c r="Q34" s="7">
        <f>Q35+Q37+Q36</f>
        <v>0</v>
      </c>
      <c r="R34" s="7">
        <f t="shared" si="5"/>
        <v>74712</v>
      </c>
      <c r="S34" s="7">
        <f t="shared" si="6"/>
        <v>0</v>
      </c>
      <c r="T34" s="35"/>
      <c r="U34" s="35"/>
    </row>
    <row r="35" spans="1:21" ht="37.5" hidden="1">
      <c r="A35" s="8" t="s">
        <v>23</v>
      </c>
      <c r="B35" s="8" t="s">
        <v>24</v>
      </c>
      <c r="C35" s="13">
        <v>69812</v>
      </c>
      <c r="D35" s="13"/>
      <c r="E35" s="13">
        <f t="shared" si="0"/>
        <v>69812</v>
      </c>
      <c r="F35" s="13"/>
      <c r="G35" s="13">
        <f t="shared" si="1"/>
        <v>69812</v>
      </c>
      <c r="H35" s="13">
        <v>74978</v>
      </c>
      <c r="I35" s="13"/>
      <c r="J35" s="13">
        <f t="shared" si="2"/>
        <v>74978</v>
      </c>
      <c r="K35" s="13">
        <v>80601</v>
      </c>
      <c r="L35" s="13"/>
      <c r="M35" s="13">
        <f t="shared" si="3"/>
        <v>80601</v>
      </c>
      <c r="N35" s="13"/>
      <c r="O35" s="13">
        <f t="shared" si="4"/>
        <v>69812</v>
      </c>
      <c r="P35" s="13">
        <v>69812</v>
      </c>
      <c r="Q35" s="13"/>
      <c r="R35" s="13">
        <f t="shared" si="5"/>
        <v>69812</v>
      </c>
      <c r="S35" s="13">
        <f t="shared" si="6"/>
        <v>0</v>
      </c>
      <c r="T35" s="38"/>
      <c r="U35" s="38"/>
    </row>
    <row r="36" spans="1:21" s="12" customFormat="1" ht="18.75" hidden="1">
      <c r="A36" s="8" t="s">
        <v>185</v>
      </c>
      <c r="B36" s="8" t="s">
        <v>112</v>
      </c>
      <c r="C36" s="13">
        <v>100</v>
      </c>
      <c r="D36" s="13"/>
      <c r="E36" s="13">
        <f t="shared" si="0"/>
        <v>100</v>
      </c>
      <c r="F36" s="13"/>
      <c r="G36" s="13">
        <f t="shared" si="1"/>
        <v>100</v>
      </c>
      <c r="H36" s="13">
        <v>120</v>
      </c>
      <c r="I36" s="13"/>
      <c r="J36" s="13">
        <f t="shared" si="2"/>
        <v>120</v>
      </c>
      <c r="K36" s="13">
        <v>140</v>
      </c>
      <c r="L36" s="13"/>
      <c r="M36" s="13">
        <f t="shared" si="3"/>
        <v>140</v>
      </c>
      <c r="N36" s="13"/>
      <c r="O36" s="13">
        <f t="shared" si="4"/>
        <v>100</v>
      </c>
      <c r="P36" s="13">
        <v>100</v>
      </c>
      <c r="Q36" s="13"/>
      <c r="R36" s="13">
        <f t="shared" si="5"/>
        <v>100</v>
      </c>
      <c r="S36" s="13">
        <f t="shared" si="6"/>
        <v>0</v>
      </c>
      <c r="T36" s="38"/>
      <c r="U36" s="38"/>
    </row>
    <row r="37" spans="1:21" ht="18.75" hidden="1">
      <c r="A37" s="8" t="s">
        <v>63</v>
      </c>
      <c r="B37" s="8" t="s">
        <v>67</v>
      </c>
      <c r="C37" s="13">
        <v>4800</v>
      </c>
      <c r="D37" s="13"/>
      <c r="E37" s="13">
        <f t="shared" si="0"/>
        <v>4800</v>
      </c>
      <c r="F37" s="13"/>
      <c r="G37" s="13">
        <f t="shared" si="1"/>
        <v>4800</v>
      </c>
      <c r="H37" s="13">
        <v>5400</v>
      </c>
      <c r="I37" s="13"/>
      <c r="J37" s="13">
        <f t="shared" si="2"/>
        <v>5400</v>
      </c>
      <c r="K37" s="13">
        <v>6000</v>
      </c>
      <c r="L37" s="13"/>
      <c r="M37" s="13">
        <f t="shared" si="3"/>
        <v>6000</v>
      </c>
      <c r="N37" s="13"/>
      <c r="O37" s="13">
        <f t="shared" si="4"/>
        <v>4800</v>
      </c>
      <c r="P37" s="13">
        <v>4800</v>
      </c>
      <c r="Q37" s="13"/>
      <c r="R37" s="13">
        <f t="shared" si="5"/>
        <v>4800</v>
      </c>
      <c r="S37" s="13">
        <f t="shared" si="6"/>
        <v>0</v>
      </c>
      <c r="T37" s="38"/>
      <c r="U37" s="38"/>
    </row>
    <row r="38" spans="1:21" s="12" customFormat="1" ht="37.5" hidden="1">
      <c r="A38" s="6" t="s">
        <v>29</v>
      </c>
      <c r="B38" s="6" t="s">
        <v>30</v>
      </c>
      <c r="C38" s="7">
        <v>48000</v>
      </c>
      <c r="D38" s="7">
        <f>D39+D40</f>
        <v>0</v>
      </c>
      <c r="E38" s="7">
        <f t="shared" si="0"/>
        <v>48000</v>
      </c>
      <c r="F38" s="7">
        <f>F39+F40</f>
        <v>8500</v>
      </c>
      <c r="G38" s="7">
        <f t="shared" si="1"/>
        <v>56500</v>
      </c>
      <c r="H38" s="7">
        <v>50500</v>
      </c>
      <c r="I38" s="7">
        <v>0</v>
      </c>
      <c r="J38" s="7">
        <f t="shared" si="2"/>
        <v>50500</v>
      </c>
      <c r="K38" s="7">
        <v>60000</v>
      </c>
      <c r="L38" s="7">
        <v>0</v>
      </c>
      <c r="M38" s="7">
        <f t="shared" si="3"/>
        <v>60000</v>
      </c>
      <c r="N38" s="7">
        <f>N39+N40</f>
        <v>0</v>
      </c>
      <c r="O38" s="7">
        <f t="shared" si="4"/>
        <v>56500</v>
      </c>
      <c r="P38" s="7">
        <v>56500</v>
      </c>
      <c r="Q38" s="7">
        <f>Q39+Q40</f>
        <v>0</v>
      </c>
      <c r="R38" s="7">
        <f t="shared" si="5"/>
        <v>56500</v>
      </c>
      <c r="S38" s="7">
        <f t="shared" si="6"/>
        <v>0</v>
      </c>
      <c r="T38" s="35"/>
      <c r="U38" s="35"/>
    </row>
    <row r="39" spans="1:21" s="12" customFormat="1" ht="75" hidden="1">
      <c r="A39" s="8" t="s">
        <v>61</v>
      </c>
      <c r="B39" s="8" t="s">
        <v>62</v>
      </c>
      <c r="C39" s="13">
        <v>1500</v>
      </c>
      <c r="D39" s="13"/>
      <c r="E39" s="13">
        <f t="shared" si="0"/>
        <v>1500</v>
      </c>
      <c r="F39" s="13">
        <v>8500</v>
      </c>
      <c r="G39" s="13">
        <f t="shared" si="1"/>
        <v>10000</v>
      </c>
      <c r="H39" s="13">
        <v>2000</v>
      </c>
      <c r="I39" s="13"/>
      <c r="J39" s="13">
        <f t="shared" si="2"/>
        <v>2000</v>
      </c>
      <c r="K39" s="13">
        <v>9000</v>
      </c>
      <c r="L39" s="13"/>
      <c r="M39" s="13">
        <f t="shared" si="3"/>
        <v>9000</v>
      </c>
      <c r="N39" s="13"/>
      <c r="O39" s="13">
        <f t="shared" si="4"/>
        <v>10000</v>
      </c>
      <c r="P39" s="13">
        <v>10000</v>
      </c>
      <c r="Q39" s="13"/>
      <c r="R39" s="13">
        <f t="shared" si="5"/>
        <v>10000</v>
      </c>
      <c r="S39" s="13">
        <f t="shared" si="6"/>
        <v>0</v>
      </c>
      <c r="T39" s="38"/>
      <c r="U39" s="38"/>
    </row>
    <row r="40" spans="1:21" ht="75" hidden="1">
      <c r="A40" s="8" t="s">
        <v>113</v>
      </c>
      <c r="B40" s="8" t="s">
        <v>60</v>
      </c>
      <c r="C40" s="13">
        <v>46500</v>
      </c>
      <c r="D40" s="13"/>
      <c r="E40" s="13">
        <f t="shared" si="0"/>
        <v>46500</v>
      </c>
      <c r="F40" s="13"/>
      <c r="G40" s="13">
        <f t="shared" si="1"/>
        <v>46500</v>
      </c>
      <c r="H40" s="13">
        <v>48500</v>
      </c>
      <c r="I40" s="13"/>
      <c r="J40" s="13">
        <f t="shared" si="2"/>
        <v>48500</v>
      </c>
      <c r="K40" s="13">
        <v>51000</v>
      </c>
      <c r="L40" s="13"/>
      <c r="M40" s="13">
        <f t="shared" si="3"/>
        <v>51000</v>
      </c>
      <c r="N40" s="13"/>
      <c r="O40" s="13">
        <f t="shared" si="4"/>
        <v>46500</v>
      </c>
      <c r="P40" s="13">
        <v>46500</v>
      </c>
      <c r="Q40" s="13"/>
      <c r="R40" s="13">
        <f t="shared" si="5"/>
        <v>46500</v>
      </c>
      <c r="S40" s="13">
        <f t="shared" si="6"/>
        <v>0</v>
      </c>
      <c r="T40" s="38"/>
      <c r="U40" s="38"/>
    </row>
    <row r="41" spans="1:21" ht="37.5" hidden="1">
      <c r="A41" s="6" t="s">
        <v>35</v>
      </c>
      <c r="B41" s="6" t="s">
        <v>36</v>
      </c>
      <c r="C41" s="7">
        <v>563295</v>
      </c>
      <c r="D41" s="7">
        <f>D42+D43</f>
        <v>0</v>
      </c>
      <c r="E41" s="7">
        <f t="shared" si="0"/>
        <v>563295</v>
      </c>
      <c r="F41" s="7">
        <f>F42+F43</f>
        <v>0</v>
      </c>
      <c r="G41" s="7">
        <f t="shared" si="1"/>
        <v>563295</v>
      </c>
      <c r="H41" s="7">
        <v>61500</v>
      </c>
      <c r="I41" s="7">
        <v>0</v>
      </c>
      <c r="J41" s="7">
        <f t="shared" si="2"/>
        <v>61500</v>
      </c>
      <c r="K41" s="7">
        <v>61500</v>
      </c>
      <c r="L41" s="7">
        <v>0</v>
      </c>
      <c r="M41" s="7">
        <f t="shared" si="3"/>
        <v>61500</v>
      </c>
      <c r="N41" s="7">
        <f>N42+N43</f>
        <v>0</v>
      </c>
      <c r="O41" s="7">
        <f t="shared" si="4"/>
        <v>563295</v>
      </c>
      <c r="P41" s="7">
        <v>563295</v>
      </c>
      <c r="Q41" s="7">
        <f>Q42+Q43</f>
        <v>0</v>
      </c>
      <c r="R41" s="7">
        <f t="shared" si="5"/>
        <v>563295</v>
      </c>
      <c r="S41" s="7">
        <f t="shared" si="6"/>
        <v>0</v>
      </c>
      <c r="T41" s="35"/>
      <c r="U41" s="35"/>
    </row>
    <row r="42" spans="1:21" s="12" customFormat="1" ht="131.25" hidden="1">
      <c r="A42" s="8" t="s">
        <v>154</v>
      </c>
      <c r="B42" s="8" t="s">
        <v>155</v>
      </c>
      <c r="C42" s="13">
        <v>483095</v>
      </c>
      <c r="D42" s="13"/>
      <c r="E42" s="13">
        <f t="shared" si="0"/>
        <v>483095</v>
      </c>
      <c r="F42" s="13"/>
      <c r="G42" s="13">
        <f t="shared" si="1"/>
        <v>483095</v>
      </c>
      <c r="H42" s="13">
        <v>1500</v>
      </c>
      <c r="I42" s="13"/>
      <c r="J42" s="13">
        <f t="shared" si="2"/>
        <v>1500</v>
      </c>
      <c r="K42" s="13">
        <v>1500</v>
      </c>
      <c r="L42" s="13"/>
      <c r="M42" s="13">
        <f t="shared" si="3"/>
        <v>1500</v>
      </c>
      <c r="N42" s="13"/>
      <c r="O42" s="13">
        <f t="shared" si="4"/>
        <v>483095</v>
      </c>
      <c r="P42" s="13">
        <v>483095</v>
      </c>
      <c r="Q42" s="13"/>
      <c r="R42" s="13">
        <f t="shared" si="5"/>
        <v>483095</v>
      </c>
      <c r="S42" s="13">
        <f t="shared" si="6"/>
        <v>0</v>
      </c>
      <c r="T42" s="38"/>
      <c r="U42" s="38"/>
    </row>
    <row r="43" spans="1:21" s="15" customFormat="1" ht="93.75" hidden="1">
      <c r="A43" s="8" t="s">
        <v>156</v>
      </c>
      <c r="B43" s="8" t="s">
        <v>157</v>
      </c>
      <c r="C43" s="13">
        <v>80200</v>
      </c>
      <c r="D43" s="13"/>
      <c r="E43" s="13">
        <f t="shared" si="0"/>
        <v>80200</v>
      </c>
      <c r="F43" s="13"/>
      <c r="G43" s="13">
        <f t="shared" si="1"/>
        <v>80200</v>
      </c>
      <c r="H43" s="13">
        <v>60000</v>
      </c>
      <c r="I43" s="13"/>
      <c r="J43" s="13">
        <f t="shared" si="2"/>
        <v>60000</v>
      </c>
      <c r="K43" s="13">
        <v>60000</v>
      </c>
      <c r="L43" s="13"/>
      <c r="M43" s="13">
        <f t="shared" si="3"/>
        <v>60000</v>
      </c>
      <c r="N43" s="13"/>
      <c r="O43" s="13">
        <f t="shared" si="4"/>
        <v>80200</v>
      </c>
      <c r="P43" s="13">
        <v>80200</v>
      </c>
      <c r="Q43" s="13"/>
      <c r="R43" s="13">
        <f t="shared" si="5"/>
        <v>80200</v>
      </c>
      <c r="S43" s="13">
        <f t="shared" si="6"/>
        <v>0</v>
      </c>
      <c r="T43" s="38"/>
      <c r="U43" s="38"/>
    </row>
    <row r="44" spans="1:21" s="12" customFormat="1" ht="131.25" hidden="1">
      <c r="A44" s="10" t="s">
        <v>158</v>
      </c>
      <c r="B44" s="10" t="s">
        <v>159</v>
      </c>
      <c r="C44" s="14">
        <v>60000</v>
      </c>
      <c r="D44" s="14"/>
      <c r="E44" s="14">
        <f t="shared" si="0"/>
        <v>60000</v>
      </c>
      <c r="F44" s="14"/>
      <c r="G44" s="14">
        <f t="shared" si="1"/>
        <v>60000</v>
      </c>
      <c r="H44" s="14">
        <v>60000</v>
      </c>
      <c r="I44" s="14"/>
      <c r="J44" s="14">
        <f t="shared" si="2"/>
        <v>60000</v>
      </c>
      <c r="K44" s="14">
        <v>60000</v>
      </c>
      <c r="L44" s="14"/>
      <c r="M44" s="14">
        <f t="shared" si="3"/>
        <v>60000</v>
      </c>
      <c r="N44" s="14"/>
      <c r="O44" s="14">
        <f t="shared" si="4"/>
        <v>60000</v>
      </c>
      <c r="P44" s="14">
        <v>60000</v>
      </c>
      <c r="Q44" s="14"/>
      <c r="R44" s="14">
        <f t="shared" si="5"/>
        <v>60000</v>
      </c>
      <c r="S44" s="14">
        <f t="shared" si="6"/>
        <v>0</v>
      </c>
      <c r="T44" s="39"/>
      <c r="U44" s="39"/>
    </row>
    <row r="45" spans="1:21" s="12" customFormat="1" ht="93.75" hidden="1">
      <c r="A45" s="10" t="s">
        <v>160</v>
      </c>
      <c r="B45" s="10" t="s">
        <v>161</v>
      </c>
      <c r="C45" s="14">
        <v>20200</v>
      </c>
      <c r="D45" s="14"/>
      <c r="E45" s="14">
        <f t="shared" si="0"/>
        <v>20200</v>
      </c>
      <c r="F45" s="14"/>
      <c r="G45" s="14">
        <f t="shared" si="1"/>
        <v>20200</v>
      </c>
      <c r="H45" s="14"/>
      <c r="I45" s="14"/>
      <c r="J45" s="14">
        <f t="shared" si="2"/>
        <v>0</v>
      </c>
      <c r="K45" s="14"/>
      <c r="L45" s="14"/>
      <c r="M45" s="14">
        <f t="shared" si="3"/>
        <v>0</v>
      </c>
      <c r="N45" s="14"/>
      <c r="O45" s="14">
        <f t="shared" si="4"/>
        <v>20200</v>
      </c>
      <c r="P45" s="14">
        <v>20200</v>
      </c>
      <c r="Q45" s="14"/>
      <c r="R45" s="14">
        <f t="shared" si="5"/>
        <v>20200</v>
      </c>
      <c r="S45" s="14">
        <f t="shared" si="6"/>
        <v>0</v>
      </c>
      <c r="T45" s="39"/>
      <c r="U45" s="39"/>
    </row>
    <row r="46" spans="1:21" s="15" customFormat="1" ht="18.75" hidden="1">
      <c r="A46" s="6" t="s">
        <v>25</v>
      </c>
      <c r="B46" s="6" t="s">
        <v>26</v>
      </c>
      <c r="C46" s="7">
        <v>10512</v>
      </c>
      <c r="D46" s="7">
        <f>D47</f>
        <v>0</v>
      </c>
      <c r="E46" s="7">
        <f t="shared" si="0"/>
        <v>10512</v>
      </c>
      <c r="F46" s="7">
        <f>F47</f>
        <v>0</v>
      </c>
      <c r="G46" s="7">
        <f t="shared" si="1"/>
        <v>10512</v>
      </c>
      <c r="H46" s="7">
        <v>16363</v>
      </c>
      <c r="I46" s="7">
        <v>0</v>
      </c>
      <c r="J46" s="7">
        <f t="shared" si="2"/>
        <v>16363</v>
      </c>
      <c r="K46" s="7">
        <v>17200</v>
      </c>
      <c r="L46" s="7">
        <v>0</v>
      </c>
      <c r="M46" s="7">
        <f t="shared" si="3"/>
        <v>17200</v>
      </c>
      <c r="N46" s="7">
        <f>N47</f>
        <v>0</v>
      </c>
      <c r="O46" s="7">
        <f t="shared" si="4"/>
        <v>10512</v>
      </c>
      <c r="P46" s="7">
        <v>10512</v>
      </c>
      <c r="Q46" s="7">
        <f>Q47</f>
        <v>0</v>
      </c>
      <c r="R46" s="7">
        <f t="shared" si="5"/>
        <v>10512</v>
      </c>
      <c r="S46" s="7">
        <f t="shared" si="6"/>
        <v>0</v>
      </c>
      <c r="T46" s="35"/>
      <c r="U46" s="35"/>
    </row>
    <row r="47" spans="1:21" s="12" customFormat="1" ht="75" hidden="1">
      <c r="A47" s="8" t="s">
        <v>56</v>
      </c>
      <c r="B47" s="8" t="s">
        <v>37</v>
      </c>
      <c r="C47" s="13">
        <v>10512</v>
      </c>
      <c r="D47" s="13"/>
      <c r="E47" s="13">
        <f t="shared" si="0"/>
        <v>10512</v>
      </c>
      <c r="F47" s="13"/>
      <c r="G47" s="13">
        <f t="shared" si="1"/>
        <v>10512</v>
      </c>
      <c r="H47" s="13">
        <v>16363</v>
      </c>
      <c r="I47" s="13"/>
      <c r="J47" s="13">
        <f t="shared" si="2"/>
        <v>16363</v>
      </c>
      <c r="K47" s="13">
        <v>17200</v>
      </c>
      <c r="L47" s="13"/>
      <c r="M47" s="13">
        <f t="shared" si="3"/>
        <v>17200</v>
      </c>
      <c r="N47" s="13"/>
      <c r="O47" s="13">
        <f t="shared" si="4"/>
        <v>10512</v>
      </c>
      <c r="P47" s="13">
        <v>10512</v>
      </c>
      <c r="Q47" s="13"/>
      <c r="R47" s="13">
        <f t="shared" si="5"/>
        <v>10512</v>
      </c>
      <c r="S47" s="13">
        <f t="shared" si="6"/>
        <v>0</v>
      </c>
      <c r="T47" s="38"/>
      <c r="U47" s="38"/>
    </row>
    <row r="48" spans="1:21" ht="18.75" hidden="1">
      <c r="A48" s="6" t="s">
        <v>27</v>
      </c>
      <c r="B48" s="6" t="s">
        <v>28</v>
      </c>
      <c r="C48" s="7">
        <v>49000</v>
      </c>
      <c r="D48" s="7">
        <f>D49</f>
        <v>0</v>
      </c>
      <c r="E48" s="7">
        <f t="shared" si="0"/>
        <v>49000</v>
      </c>
      <c r="F48" s="7">
        <f>F49</f>
        <v>0</v>
      </c>
      <c r="G48" s="7">
        <f t="shared" si="1"/>
        <v>49000</v>
      </c>
      <c r="H48" s="7">
        <v>52000</v>
      </c>
      <c r="I48" s="7">
        <v>0</v>
      </c>
      <c r="J48" s="7">
        <f t="shared" si="2"/>
        <v>52000</v>
      </c>
      <c r="K48" s="7">
        <v>55000</v>
      </c>
      <c r="L48" s="7">
        <v>0</v>
      </c>
      <c r="M48" s="7">
        <f t="shared" si="3"/>
        <v>55000</v>
      </c>
      <c r="N48" s="7">
        <f>N49</f>
        <v>0</v>
      </c>
      <c r="O48" s="7">
        <f t="shared" si="4"/>
        <v>49000</v>
      </c>
      <c r="P48" s="7">
        <v>49000</v>
      </c>
      <c r="Q48" s="7">
        <f>Q49</f>
        <v>0</v>
      </c>
      <c r="R48" s="7">
        <f t="shared" si="5"/>
        <v>49000</v>
      </c>
      <c r="S48" s="7">
        <f t="shared" si="6"/>
        <v>0</v>
      </c>
      <c r="T48" s="35"/>
      <c r="U48" s="35"/>
    </row>
    <row r="49" spans="1:21" ht="37.5" hidden="1">
      <c r="A49" s="8" t="s">
        <v>39</v>
      </c>
      <c r="B49" s="8" t="s">
        <v>38</v>
      </c>
      <c r="C49" s="13">
        <v>49000</v>
      </c>
      <c r="D49" s="13"/>
      <c r="E49" s="13">
        <f t="shared" si="0"/>
        <v>49000</v>
      </c>
      <c r="F49" s="13"/>
      <c r="G49" s="13">
        <f t="shared" si="1"/>
        <v>49000</v>
      </c>
      <c r="H49" s="13">
        <v>52000</v>
      </c>
      <c r="I49" s="13"/>
      <c r="J49" s="13">
        <f t="shared" si="2"/>
        <v>52000</v>
      </c>
      <c r="K49" s="13">
        <v>55000</v>
      </c>
      <c r="L49" s="13"/>
      <c r="M49" s="13">
        <f t="shared" si="3"/>
        <v>55000</v>
      </c>
      <c r="N49" s="13"/>
      <c r="O49" s="13">
        <f t="shared" si="4"/>
        <v>49000</v>
      </c>
      <c r="P49" s="13">
        <v>49000</v>
      </c>
      <c r="Q49" s="13"/>
      <c r="R49" s="13">
        <f t="shared" si="5"/>
        <v>49000</v>
      </c>
      <c r="S49" s="13">
        <f t="shared" si="6"/>
        <v>0</v>
      </c>
      <c r="T49" s="38"/>
      <c r="U49" s="38"/>
    </row>
    <row r="50" spans="1:21" ht="18.75">
      <c r="A50" s="6" t="s">
        <v>40</v>
      </c>
      <c r="B50" s="6" t="s">
        <v>32</v>
      </c>
      <c r="C50" s="16">
        <v>12150036</v>
      </c>
      <c r="D50" s="16" t="e">
        <f>D51+D136</f>
        <v>#REF!</v>
      </c>
      <c r="E50" s="16" t="e">
        <f t="shared" si="0"/>
        <v>#REF!</v>
      </c>
      <c r="F50" s="16" t="e">
        <f>F51+F136</f>
        <v>#REF!</v>
      </c>
      <c r="G50" s="16" t="e">
        <f t="shared" si="1"/>
        <v>#REF!</v>
      </c>
      <c r="H50" s="16">
        <v>8783487</v>
      </c>
      <c r="I50" s="16">
        <v>0</v>
      </c>
      <c r="J50" s="16">
        <f t="shared" si="2"/>
        <v>8783487</v>
      </c>
      <c r="K50" s="16">
        <v>3258280</v>
      </c>
      <c r="L50" s="16">
        <v>0</v>
      </c>
      <c r="M50" s="16">
        <f t="shared" si="3"/>
        <v>3258280</v>
      </c>
      <c r="N50" s="16" t="e">
        <f>N51+N136</f>
        <v>#REF!</v>
      </c>
      <c r="O50" s="16" t="e">
        <f t="shared" si="4"/>
        <v>#REF!</v>
      </c>
      <c r="P50" s="16">
        <v>14471584</v>
      </c>
      <c r="Q50" s="16">
        <f>Q51+Q136</f>
        <v>1422287</v>
      </c>
      <c r="R50" s="16">
        <f t="shared" si="5"/>
        <v>15893871</v>
      </c>
      <c r="S50" s="16">
        <f t="shared" si="6"/>
        <v>1422287</v>
      </c>
      <c r="T50" s="40">
        <f>S50/P50</f>
        <v>0.09828136298003039</v>
      </c>
      <c r="U50" s="40">
        <f>S50/$S$142</f>
        <v>0.9909840046208718</v>
      </c>
    </row>
    <row r="51" spans="1:21" s="12" customFormat="1" ht="56.25">
      <c r="A51" s="6" t="s">
        <v>174</v>
      </c>
      <c r="B51" s="6" t="s">
        <v>58</v>
      </c>
      <c r="C51" s="17">
        <f>C52+C55+C103+C127+C134</f>
        <v>11175616</v>
      </c>
      <c r="D51" s="17" t="e">
        <f>D52+D55+D103+D127+D134</f>
        <v>#REF!</v>
      </c>
      <c r="E51" s="17" t="e">
        <f>E52+E55+E103+E127+E134</f>
        <v>#REF!</v>
      </c>
      <c r="F51" s="17" t="e">
        <f>F52+F55+F103+F127+F134</f>
        <v>#REF!</v>
      </c>
      <c r="G51" s="17" t="e">
        <f>G52+G55+G103+G127+G134</f>
        <v>#REF!</v>
      </c>
      <c r="H51" s="18">
        <v>8035272</v>
      </c>
      <c r="I51" s="18"/>
      <c r="J51" s="18">
        <f t="shared" si="2"/>
        <v>8035272</v>
      </c>
      <c r="K51" s="18">
        <v>2659966</v>
      </c>
      <c r="L51" s="18"/>
      <c r="M51" s="18">
        <f t="shared" si="3"/>
        <v>2659966</v>
      </c>
      <c r="N51" s="17" t="e">
        <f>N52+N55+N103+N127+N134</f>
        <v>#REF!</v>
      </c>
      <c r="O51" s="17" t="e">
        <f t="shared" si="4"/>
        <v>#REF!</v>
      </c>
      <c r="P51" s="17">
        <v>12725238</v>
      </c>
      <c r="Q51" s="17">
        <f>Q52+Q55+Q103+Q127+Q134</f>
        <v>1422287</v>
      </c>
      <c r="R51" s="17">
        <f t="shared" si="5"/>
        <v>14147525</v>
      </c>
      <c r="S51" s="17">
        <f t="shared" si="6"/>
        <v>1422287</v>
      </c>
      <c r="T51" s="41">
        <f aca="true" t="shared" si="7" ref="T51:T114">S51/P51</f>
        <v>0.11176899009668817</v>
      </c>
      <c r="U51" s="41">
        <f aca="true" t="shared" si="8" ref="U51:U114">S51/$S$142</f>
        <v>0.9909840046208718</v>
      </c>
    </row>
    <row r="52" spans="1:21" s="12" customFormat="1" ht="37.5">
      <c r="A52" s="6" t="s">
        <v>73</v>
      </c>
      <c r="B52" s="6" t="s">
        <v>69</v>
      </c>
      <c r="C52" s="7">
        <v>681661</v>
      </c>
      <c r="D52" s="7">
        <f>D53</f>
        <v>0</v>
      </c>
      <c r="E52" s="7">
        <f>C52+D52</f>
        <v>681661</v>
      </c>
      <c r="F52" s="7" t="e">
        <f>F53+#REF!</f>
        <v>#REF!</v>
      </c>
      <c r="G52" s="7" t="e">
        <f>G53+#REF!</f>
        <v>#REF!</v>
      </c>
      <c r="H52" s="7">
        <v>479988</v>
      </c>
      <c r="I52" s="7">
        <v>0</v>
      </c>
      <c r="J52" s="7">
        <f t="shared" si="2"/>
        <v>479988</v>
      </c>
      <c r="K52" s="7"/>
      <c r="L52" s="7">
        <v>0</v>
      </c>
      <c r="M52" s="7">
        <f t="shared" si="3"/>
        <v>0</v>
      </c>
      <c r="N52" s="7" t="e">
        <f>N53+#REF!+N54</f>
        <v>#REF!</v>
      </c>
      <c r="O52" s="7" t="e">
        <f t="shared" si="4"/>
        <v>#REF!</v>
      </c>
      <c r="P52" s="7">
        <v>740968</v>
      </c>
      <c r="Q52" s="7">
        <f>SUM(Q53:Q54)</f>
        <v>132360</v>
      </c>
      <c r="R52" s="7">
        <f t="shared" si="5"/>
        <v>873328</v>
      </c>
      <c r="S52" s="7">
        <f t="shared" si="6"/>
        <v>132360</v>
      </c>
      <c r="T52" s="35">
        <f t="shared" si="7"/>
        <v>0.17863119594908283</v>
      </c>
      <c r="U52" s="35">
        <f t="shared" si="8"/>
        <v>0.09222234531541004</v>
      </c>
    </row>
    <row r="53" spans="1:21" s="12" customFormat="1" ht="56.25" hidden="1">
      <c r="A53" s="10" t="s">
        <v>71</v>
      </c>
      <c r="B53" s="10" t="s">
        <v>70</v>
      </c>
      <c r="C53" s="11">
        <v>681661</v>
      </c>
      <c r="D53" s="11"/>
      <c r="E53" s="11">
        <f>C53+D53</f>
        <v>681661</v>
      </c>
      <c r="F53" s="11">
        <v>57</v>
      </c>
      <c r="G53" s="11">
        <f>E53+F53</f>
        <v>681718</v>
      </c>
      <c r="H53" s="11">
        <v>479988</v>
      </c>
      <c r="I53" s="11"/>
      <c r="J53" s="11">
        <f t="shared" si="2"/>
        <v>479988</v>
      </c>
      <c r="K53" s="11"/>
      <c r="L53" s="11"/>
      <c r="M53" s="11">
        <f t="shared" si="3"/>
        <v>0</v>
      </c>
      <c r="N53" s="11"/>
      <c r="O53" s="11">
        <f t="shared" si="4"/>
        <v>681718</v>
      </c>
      <c r="P53" s="11">
        <v>681718</v>
      </c>
      <c r="Q53" s="11"/>
      <c r="R53" s="11">
        <f t="shared" si="5"/>
        <v>681718</v>
      </c>
      <c r="S53" s="11">
        <f t="shared" si="6"/>
        <v>0</v>
      </c>
      <c r="T53" s="37">
        <f t="shared" si="7"/>
        <v>0</v>
      </c>
      <c r="U53" s="37">
        <f t="shared" si="8"/>
        <v>0</v>
      </c>
    </row>
    <row r="54" spans="1:21" s="12" customFormat="1" ht="56.25">
      <c r="A54" s="10" t="s">
        <v>241</v>
      </c>
      <c r="B54" s="10" t="s">
        <v>230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>
        <f>25438+33812</f>
        <v>59250</v>
      </c>
      <c r="O54" s="11">
        <f t="shared" si="4"/>
        <v>59250</v>
      </c>
      <c r="P54" s="11">
        <v>59250</v>
      </c>
      <c r="Q54" s="11">
        <v>132360</v>
      </c>
      <c r="R54" s="11">
        <f t="shared" si="5"/>
        <v>191610</v>
      </c>
      <c r="S54" s="11">
        <f t="shared" si="6"/>
        <v>132360</v>
      </c>
      <c r="T54" s="37">
        <f t="shared" si="7"/>
        <v>2.233924050632911</v>
      </c>
      <c r="U54" s="37">
        <f t="shared" si="8"/>
        <v>0.09222234531541004</v>
      </c>
    </row>
    <row r="55" spans="1:21" s="12" customFormat="1" ht="56.25">
      <c r="A55" s="6" t="s">
        <v>74</v>
      </c>
      <c r="B55" s="6" t="s">
        <v>72</v>
      </c>
      <c r="C55" s="7">
        <v>8445802</v>
      </c>
      <c r="D55" s="7" t="e">
        <f>D56+#REF!+D58+D66+D67+D71+D72+D73+D75+D76+D77+D81+D82+D86+D87+D89+#REF!+D98+D99+D83+D97+D80+D88+D90</f>
        <v>#REF!</v>
      </c>
      <c r="E55" s="7" t="e">
        <f>C55+D55</f>
        <v>#REF!</v>
      </c>
      <c r="F55" s="7" t="e">
        <f>F56+#REF!+F58+F66+F67+F71+F72+F73+F75+F76+F77+F81+F82+F86+F87+F89+F96+#REF!+F98+F99+F83+F97+F80+F88+F90</f>
        <v>#REF!</v>
      </c>
      <c r="G55" s="7" t="e">
        <f>G56+#REF!+G58+G66+G67+G71+G72+G73+G75+G76+G77+G81+G82+G86+G87+G89+G96+#REF!+G98+G99+G83+G97+G80+G88+G90</f>
        <v>#REF!</v>
      </c>
      <c r="H55" s="7">
        <v>5497579</v>
      </c>
      <c r="I55" s="7">
        <v>0</v>
      </c>
      <c r="J55" s="7">
        <f t="shared" si="2"/>
        <v>5497579</v>
      </c>
      <c r="K55" s="7">
        <v>555972</v>
      </c>
      <c r="L55" s="7">
        <v>0</v>
      </c>
      <c r="M55" s="7">
        <f t="shared" si="3"/>
        <v>555972</v>
      </c>
      <c r="N55" s="7" t="e">
        <f>N56+#REF!+N58+N66+N67+N71+N72+N73+N75+N76+N77+N81+N82+N86+N87+N89+N96+#REF!+N98+N99+N83+N97+N80+N88+N90+N100</f>
        <v>#REF!</v>
      </c>
      <c r="O55" s="7" t="e">
        <f t="shared" si="4"/>
        <v>#REF!</v>
      </c>
      <c r="P55" s="7">
        <v>9239187</v>
      </c>
      <c r="Q55" s="7">
        <f>SUM(Q56:Q102)</f>
        <v>1056144</v>
      </c>
      <c r="R55" s="7">
        <f t="shared" si="5"/>
        <v>10295331</v>
      </c>
      <c r="S55" s="7">
        <f t="shared" si="6"/>
        <v>1056144</v>
      </c>
      <c r="T55" s="35">
        <f t="shared" si="7"/>
        <v>0.11431135661611784</v>
      </c>
      <c r="U55" s="35">
        <f t="shared" si="8"/>
        <v>0.7358724438712483</v>
      </c>
    </row>
    <row r="56" spans="1:21" s="12" customFormat="1" ht="56.25" hidden="1">
      <c r="A56" s="10" t="s">
        <v>169</v>
      </c>
      <c r="B56" s="10" t="s">
        <v>197</v>
      </c>
      <c r="C56" s="14"/>
      <c r="D56" s="14">
        <v>156384</v>
      </c>
      <c r="E56" s="11">
        <f>C56+D56</f>
        <v>156384</v>
      </c>
      <c r="F56" s="14"/>
      <c r="G56" s="11">
        <f>E56+F56</f>
        <v>156384</v>
      </c>
      <c r="H56" s="14"/>
      <c r="I56" s="14"/>
      <c r="J56" s="14"/>
      <c r="K56" s="14"/>
      <c r="L56" s="14"/>
      <c r="M56" s="14"/>
      <c r="N56" s="14"/>
      <c r="O56" s="11">
        <f t="shared" si="4"/>
        <v>156384</v>
      </c>
      <c r="P56" s="11">
        <v>156384</v>
      </c>
      <c r="Q56" s="11"/>
      <c r="R56" s="11">
        <f t="shared" si="5"/>
        <v>156384</v>
      </c>
      <c r="S56" s="11">
        <f t="shared" si="6"/>
        <v>0</v>
      </c>
      <c r="T56" s="37">
        <f t="shared" si="7"/>
        <v>0</v>
      </c>
      <c r="U56" s="37">
        <f t="shared" si="8"/>
        <v>0</v>
      </c>
    </row>
    <row r="57" spans="1:21" s="12" customFormat="1" ht="56.25">
      <c r="A57" s="10" t="s">
        <v>273</v>
      </c>
      <c r="B57" s="10" t="s">
        <v>274</v>
      </c>
      <c r="C57" s="14"/>
      <c r="D57" s="14"/>
      <c r="E57" s="11"/>
      <c r="F57" s="14"/>
      <c r="G57" s="11"/>
      <c r="H57" s="14"/>
      <c r="I57" s="14"/>
      <c r="J57" s="14"/>
      <c r="K57" s="14"/>
      <c r="L57" s="14"/>
      <c r="M57" s="14"/>
      <c r="N57" s="14"/>
      <c r="O57" s="11"/>
      <c r="P57" s="11"/>
      <c r="Q57" s="11">
        <v>48836</v>
      </c>
      <c r="R57" s="11">
        <f t="shared" si="5"/>
        <v>48836</v>
      </c>
      <c r="S57" s="11">
        <f t="shared" si="6"/>
        <v>48836</v>
      </c>
      <c r="T57" s="37" t="e">
        <f t="shared" si="7"/>
        <v>#DIV/0!</v>
      </c>
      <c r="U57" s="37">
        <f t="shared" si="8"/>
        <v>0.034026673132542797</v>
      </c>
    </row>
    <row r="58" spans="1:21" s="12" customFormat="1" ht="37.5" hidden="1">
      <c r="A58" s="10" t="s">
        <v>126</v>
      </c>
      <c r="B58" s="10" t="s">
        <v>108</v>
      </c>
      <c r="C58" s="11">
        <v>11570</v>
      </c>
      <c r="D58" s="11"/>
      <c r="E58" s="11">
        <f>C58+D58</f>
        <v>11570</v>
      </c>
      <c r="F58" s="11"/>
      <c r="G58" s="11">
        <f>E58+F58</f>
        <v>11570</v>
      </c>
      <c r="H58" s="11">
        <v>11570</v>
      </c>
      <c r="I58" s="11"/>
      <c r="J58" s="11">
        <f t="shared" si="2"/>
        <v>11570</v>
      </c>
      <c r="K58" s="11">
        <v>11570</v>
      </c>
      <c r="L58" s="11"/>
      <c r="M58" s="11">
        <f t="shared" si="3"/>
        <v>11570</v>
      </c>
      <c r="N58" s="11"/>
      <c r="O58" s="11">
        <f t="shared" si="4"/>
        <v>11570</v>
      </c>
      <c r="P58" s="11">
        <v>11570</v>
      </c>
      <c r="Q58" s="11"/>
      <c r="R58" s="11">
        <f t="shared" si="5"/>
        <v>11570</v>
      </c>
      <c r="S58" s="11">
        <f t="shared" si="6"/>
        <v>0</v>
      </c>
      <c r="T58" s="37">
        <f t="shared" si="7"/>
        <v>0</v>
      </c>
      <c r="U58" s="37">
        <f t="shared" si="8"/>
        <v>0</v>
      </c>
    </row>
    <row r="59" spans="1:21" s="12" customFormat="1" ht="75">
      <c r="A59" s="10" t="s">
        <v>269</v>
      </c>
      <c r="B59" s="10" t="s">
        <v>270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>
        <v>39205</v>
      </c>
      <c r="R59" s="11">
        <f t="shared" si="5"/>
        <v>39205</v>
      </c>
      <c r="S59" s="11">
        <f t="shared" si="6"/>
        <v>39205</v>
      </c>
      <c r="T59" s="37" t="e">
        <f t="shared" si="7"/>
        <v>#DIV/0!</v>
      </c>
      <c r="U59" s="37">
        <f t="shared" si="8"/>
        <v>0.027316236386299868</v>
      </c>
    </row>
    <row r="60" spans="1:21" s="12" customFormat="1" ht="56.25">
      <c r="A60" s="10" t="s">
        <v>271</v>
      </c>
      <c r="B60" s="10" t="s">
        <v>272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v>28248</v>
      </c>
      <c r="R60" s="11">
        <f t="shared" si="5"/>
        <v>28248</v>
      </c>
      <c r="S60" s="11">
        <f t="shared" si="6"/>
        <v>28248</v>
      </c>
      <c r="T60" s="37" t="e">
        <f t="shared" si="7"/>
        <v>#DIV/0!</v>
      </c>
      <c r="U60" s="37">
        <f t="shared" si="8"/>
        <v>0.01968190397755895</v>
      </c>
    </row>
    <row r="61" spans="1:21" s="12" customFormat="1" ht="93.75">
      <c r="A61" s="10" t="s">
        <v>290</v>
      </c>
      <c r="B61" s="10" t="s">
        <v>291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>
        <v>114800</v>
      </c>
      <c r="R61" s="11">
        <f t="shared" si="5"/>
        <v>114800</v>
      </c>
      <c r="S61" s="11">
        <f t="shared" si="6"/>
        <v>114800</v>
      </c>
      <c r="T61" s="37" t="e">
        <f t="shared" si="7"/>
        <v>#DIV/0!</v>
      </c>
      <c r="U61" s="37">
        <f t="shared" si="8"/>
        <v>0.07998734694929792</v>
      </c>
    </row>
    <row r="62" spans="1:21" s="12" customFormat="1" ht="56.25">
      <c r="A62" s="10" t="s">
        <v>245</v>
      </c>
      <c r="B62" s="10" t="s">
        <v>246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>
        <v>3758</v>
      </c>
      <c r="R62" s="11">
        <f t="shared" si="5"/>
        <v>3758</v>
      </c>
      <c r="S62" s="11">
        <f t="shared" si="6"/>
        <v>3758</v>
      </c>
      <c r="T62" s="37" t="e">
        <f t="shared" si="7"/>
        <v>#DIV/0!</v>
      </c>
      <c r="U62" s="37">
        <f t="shared" si="8"/>
        <v>0.0026184011309709197</v>
      </c>
    </row>
    <row r="63" spans="1:21" s="12" customFormat="1" ht="56.25">
      <c r="A63" s="10" t="s">
        <v>247</v>
      </c>
      <c r="B63" s="10" t="s">
        <v>248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>
        <v>6442</v>
      </c>
      <c r="R63" s="11">
        <f t="shared" si="5"/>
        <v>6442</v>
      </c>
      <c r="S63" s="11">
        <f t="shared" si="6"/>
        <v>6442</v>
      </c>
      <c r="T63" s="37" t="e">
        <f t="shared" si="7"/>
        <v>#DIV/0!</v>
      </c>
      <c r="U63" s="37">
        <f t="shared" si="8"/>
        <v>0.004488488580552066</v>
      </c>
    </row>
    <row r="64" spans="1:21" s="12" customFormat="1" ht="56.25">
      <c r="A64" s="10" t="s">
        <v>250</v>
      </c>
      <c r="B64" s="10" t="s">
        <v>249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>
        <v>36</v>
      </c>
      <c r="R64" s="11">
        <f t="shared" si="5"/>
        <v>36</v>
      </c>
      <c r="S64" s="11">
        <f t="shared" si="6"/>
        <v>36</v>
      </c>
      <c r="T64" s="37" t="e">
        <f t="shared" si="7"/>
        <v>#DIV/0!</v>
      </c>
      <c r="U64" s="37">
        <f t="shared" si="8"/>
        <v>2.508314015831642E-05</v>
      </c>
    </row>
    <row r="65" spans="1:21" s="12" customFormat="1" ht="112.5">
      <c r="A65" s="10" t="s">
        <v>251</v>
      </c>
      <c r="B65" s="10" t="s">
        <v>252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>
        <v>1881</v>
      </c>
      <c r="R65" s="11">
        <f t="shared" si="5"/>
        <v>1881</v>
      </c>
      <c r="S65" s="11">
        <f t="shared" si="6"/>
        <v>1881</v>
      </c>
      <c r="T65" s="37" t="e">
        <f t="shared" si="7"/>
        <v>#DIV/0!</v>
      </c>
      <c r="U65" s="37">
        <f t="shared" si="8"/>
        <v>0.001310594073272033</v>
      </c>
    </row>
    <row r="66" spans="1:21" s="12" customFormat="1" ht="112.5">
      <c r="A66" s="10" t="s">
        <v>114</v>
      </c>
      <c r="B66" s="10" t="s">
        <v>75</v>
      </c>
      <c r="C66" s="11">
        <v>14000</v>
      </c>
      <c r="D66" s="11"/>
      <c r="E66" s="11">
        <f>C66+D66</f>
        <v>14000</v>
      </c>
      <c r="F66" s="11"/>
      <c r="G66" s="11">
        <f>E66+F66</f>
        <v>14000</v>
      </c>
      <c r="H66" s="11">
        <v>15000</v>
      </c>
      <c r="I66" s="11"/>
      <c r="J66" s="11">
        <f t="shared" si="2"/>
        <v>15000</v>
      </c>
      <c r="K66" s="11">
        <v>13000</v>
      </c>
      <c r="L66" s="11"/>
      <c r="M66" s="11">
        <f t="shared" si="3"/>
        <v>13000</v>
      </c>
      <c r="N66" s="11"/>
      <c r="O66" s="11">
        <f t="shared" si="4"/>
        <v>14000</v>
      </c>
      <c r="P66" s="11">
        <v>14000</v>
      </c>
      <c r="Q66" s="11">
        <v>-4500</v>
      </c>
      <c r="R66" s="11">
        <f t="shared" si="5"/>
        <v>9500</v>
      </c>
      <c r="S66" s="11">
        <f t="shared" si="6"/>
        <v>-4500</v>
      </c>
      <c r="T66" s="37">
        <f t="shared" si="7"/>
        <v>-0.32142857142857145</v>
      </c>
      <c r="U66" s="37">
        <f t="shared" si="8"/>
        <v>-0.0031353925197895524</v>
      </c>
    </row>
    <row r="67" spans="1:21" s="12" customFormat="1" ht="112.5">
      <c r="A67" s="10" t="s">
        <v>127</v>
      </c>
      <c r="B67" s="10" t="s">
        <v>107</v>
      </c>
      <c r="C67" s="11">
        <v>84511</v>
      </c>
      <c r="D67" s="11"/>
      <c r="E67" s="11">
        <f>C67+D67</f>
        <v>84511</v>
      </c>
      <c r="F67" s="11"/>
      <c r="G67" s="11">
        <f>E67+F67</f>
        <v>84511</v>
      </c>
      <c r="H67" s="11">
        <v>86920</v>
      </c>
      <c r="I67" s="11"/>
      <c r="J67" s="11">
        <f t="shared" si="2"/>
        <v>86920</v>
      </c>
      <c r="K67" s="11">
        <v>86920</v>
      </c>
      <c r="L67" s="11"/>
      <c r="M67" s="11">
        <f t="shared" si="3"/>
        <v>86920</v>
      </c>
      <c r="N67" s="11"/>
      <c r="O67" s="11">
        <f t="shared" si="4"/>
        <v>84511</v>
      </c>
      <c r="P67" s="11">
        <v>84511</v>
      </c>
      <c r="Q67" s="11">
        <v>-12116</v>
      </c>
      <c r="R67" s="11">
        <f t="shared" si="5"/>
        <v>72395</v>
      </c>
      <c r="S67" s="11">
        <f t="shared" si="6"/>
        <v>-12116</v>
      </c>
      <c r="T67" s="37">
        <f t="shared" si="7"/>
        <v>-0.1433659523612311</v>
      </c>
      <c r="U67" s="37">
        <f t="shared" si="8"/>
        <v>-0.008441870171060049</v>
      </c>
    </row>
    <row r="68" spans="1:21" s="12" customFormat="1" ht="300">
      <c r="A68" s="10" t="s">
        <v>254</v>
      </c>
      <c r="B68" s="10" t="s">
        <v>253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>
        <v>82900</v>
      </c>
      <c r="R68" s="11">
        <f t="shared" si="5"/>
        <v>82900</v>
      </c>
      <c r="S68" s="11">
        <f t="shared" si="6"/>
        <v>82900</v>
      </c>
      <c r="T68" s="37" t="e">
        <f t="shared" si="7"/>
        <v>#DIV/0!</v>
      </c>
      <c r="U68" s="37">
        <f t="shared" si="8"/>
        <v>0.05776089775345642</v>
      </c>
    </row>
    <row r="69" spans="1:21" s="12" customFormat="1" ht="75">
      <c r="A69" s="10" t="s">
        <v>255</v>
      </c>
      <c r="B69" s="10" t="s">
        <v>256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>
        <v>341</v>
      </c>
      <c r="R69" s="11">
        <f t="shared" si="5"/>
        <v>341</v>
      </c>
      <c r="S69" s="11">
        <f t="shared" si="6"/>
        <v>341</v>
      </c>
      <c r="T69" s="37" t="e">
        <f t="shared" si="7"/>
        <v>#DIV/0!</v>
      </c>
      <c r="U69" s="37">
        <f t="shared" si="8"/>
        <v>0.00023759307761071942</v>
      </c>
    </row>
    <row r="70" spans="1:21" s="12" customFormat="1" ht="56.25">
      <c r="A70" s="10" t="s">
        <v>259</v>
      </c>
      <c r="B70" s="10" t="s">
        <v>260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>
        <v>2830</v>
      </c>
      <c r="R70" s="11">
        <f t="shared" si="5"/>
        <v>2830</v>
      </c>
      <c r="S70" s="11">
        <f t="shared" si="6"/>
        <v>2830</v>
      </c>
      <c r="T70" s="37" t="e">
        <f t="shared" si="7"/>
        <v>#DIV/0!</v>
      </c>
      <c r="U70" s="37">
        <f t="shared" si="8"/>
        <v>0.001971813518000985</v>
      </c>
    </row>
    <row r="71" spans="1:21" s="12" customFormat="1" ht="75" hidden="1">
      <c r="A71" s="10" t="s">
        <v>200</v>
      </c>
      <c r="B71" s="10" t="s">
        <v>228</v>
      </c>
      <c r="C71" s="11"/>
      <c r="D71" s="11">
        <v>46994</v>
      </c>
      <c r="E71" s="11">
        <f>C71+D71</f>
        <v>46994</v>
      </c>
      <c r="F71" s="11"/>
      <c r="G71" s="11">
        <f>E71+F71</f>
        <v>46994</v>
      </c>
      <c r="H71" s="11"/>
      <c r="I71" s="11"/>
      <c r="J71" s="11"/>
      <c r="K71" s="11"/>
      <c r="L71" s="11"/>
      <c r="M71" s="11"/>
      <c r="N71" s="11"/>
      <c r="O71" s="11">
        <f t="shared" si="4"/>
        <v>46994</v>
      </c>
      <c r="P71" s="11">
        <v>46994</v>
      </c>
      <c r="Q71" s="11"/>
      <c r="R71" s="11">
        <f t="shared" si="5"/>
        <v>46994</v>
      </c>
      <c r="S71" s="11">
        <f t="shared" si="6"/>
        <v>0</v>
      </c>
      <c r="T71" s="37">
        <f t="shared" si="7"/>
        <v>0</v>
      </c>
      <c r="U71" s="37">
        <f t="shared" si="8"/>
        <v>0</v>
      </c>
    </row>
    <row r="72" spans="1:21" s="12" customFormat="1" ht="131.25" hidden="1">
      <c r="A72" s="10" t="s">
        <v>198</v>
      </c>
      <c r="B72" s="10" t="s">
        <v>199</v>
      </c>
      <c r="C72" s="11"/>
      <c r="D72" s="11">
        <v>95458</v>
      </c>
      <c r="E72" s="11">
        <f>C72+D72</f>
        <v>95458</v>
      </c>
      <c r="F72" s="11"/>
      <c r="G72" s="11">
        <f>E72+F72</f>
        <v>95458</v>
      </c>
      <c r="H72" s="11"/>
      <c r="I72" s="11"/>
      <c r="J72" s="11"/>
      <c r="K72" s="11"/>
      <c r="L72" s="11"/>
      <c r="M72" s="11"/>
      <c r="N72" s="11"/>
      <c r="O72" s="11">
        <f t="shared" si="4"/>
        <v>95458</v>
      </c>
      <c r="P72" s="11">
        <v>95458</v>
      </c>
      <c r="Q72" s="11"/>
      <c r="R72" s="11">
        <f t="shared" si="5"/>
        <v>95458</v>
      </c>
      <c r="S72" s="11">
        <f t="shared" si="6"/>
        <v>0</v>
      </c>
      <c r="T72" s="37">
        <f t="shared" si="7"/>
        <v>0</v>
      </c>
      <c r="U72" s="37">
        <f t="shared" si="8"/>
        <v>0</v>
      </c>
    </row>
    <row r="73" spans="1:21" s="12" customFormat="1" ht="56.25">
      <c r="A73" s="10" t="s">
        <v>128</v>
      </c>
      <c r="B73" s="10" t="s">
        <v>76</v>
      </c>
      <c r="C73" s="11">
        <v>86158</v>
      </c>
      <c r="D73" s="11"/>
      <c r="E73" s="11">
        <f>C73+D73</f>
        <v>86158</v>
      </c>
      <c r="F73" s="11"/>
      <c r="G73" s="11">
        <f>E73+F73</f>
        <v>86158</v>
      </c>
      <c r="H73" s="11">
        <v>86158</v>
      </c>
      <c r="I73" s="11"/>
      <c r="J73" s="11">
        <f t="shared" si="2"/>
        <v>86158</v>
      </c>
      <c r="K73" s="11">
        <v>86158</v>
      </c>
      <c r="L73" s="11"/>
      <c r="M73" s="11">
        <f t="shared" si="3"/>
        <v>86158</v>
      </c>
      <c r="N73" s="11"/>
      <c r="O73" s="11">
        <f t="shared" si="4"/>
        <v>86158</v>
      </c>
      <c r="P73" s="11">
        <v>86158</v>
      </c>
      <c r="Q73" s="11">
        <v>-9856</v>
      </c>
      <c r="R73" s="11">
        <f t="shared" si="5"/>
        <v>76302</v>
      </c>
      <c r="S73" s="11">
        <f aca="true" t="shared" si="9" ref="S73:S136">R73-P73</f>
        <v>-9856</v>
      </c>
      <c r="T73" s="37">
        <f t="shared" si="7"/>
        <v>-0.11439448455163768</v>
      </c>
      <c r="U73" s="37">
        <f t="shared" si="8"/>
        <v>-0.006867206372232406</v>
      </c>
    </row>
    <row r="74" spans="1:21" s="12" customFormat="1" ht="56.25">
      <c r="A74" s="10" t="s">
        <v>257</v>
      </c>
      <c r="B74" s="10" t="s">
        <v>258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>
        <v>79140</v>
      </c>
      <c r="R74" s="11">
        <f t="shared" si="5"/>
        <v>79140</v>
      </c>
      <c r="S74" s="11">
        <f t="shared" si="9"/>
        <v>79140</v>
      </c>
      <c r="T74" s="37" t="e">
        <f t="shared" si="7"/>
        <v>#DIV/0!</v>
      </c>
      <c r="U74" s="37">
        <f t="shared" si="8"/>
        <v>0.05514110311469893</v>
      </c>
    </row>
    <row r="75" spans="1:21" s="12" customFormat="1" ht="112.5" hidden="1">
      <c r="A75" s="10" t="s">
        <v>119</v>
      </c>
      <c r="B75" s="10" t="s">
        <v>65</v>
      </c>
      <c r="C75" s="11">
        <v>329050</v>
      </c>
      <c r="D75" s="11"/>
      <c r="E75" s="11">
        <f>C75+D75</f>
        <v>329050</v>
      </c>
      <c r="F75" s="11">
        <v>-131620</v>
      </c>
      <c r="G75" s="11">
        <f>E75+F75</f>
        <v>197430</v>
      </c>
      <c r="H75" s="11"/>
      <c r="I75" s="11"/>
      <c r="J75" s="11">
        <f t="shared" si="2"/>
        <v>0</v>
      </c>
      <c r="K75" s="11"/>
      <c r="L75" s="11"/>
      <c r="M75" s="11">
        <f t="shared" si="3"/>
        <v>0</v>
      </c>
      <c r="N75" s="11"/>
      <c r="O75" s="11">
        <f t="shared" si="4"/>
        <v>197430</v>
      </c>
      <c r="P75" s="11">
        <v>197430</v>
      </c>
      <c r="Q75" s="11"/>
      <c r="R75" s="11">
        <f t="shared" si="5"/>
        <v>197430</v>
      </c>
      <c r="S75" s="11">
        <f t="shared" si="9"/>
        <v>0</v>
      </c>
      <c r="T75" s="37">
        <f t="shared" si="7"/>
        <v>0</v>
      </c>
      <c r="U75" s="37">
        <f t="shared" si="8"/>
        <v>0</v>
      </c>
    </row>
    <row r="76" spans="1:21" s="12" customFormat="1" ht="56.25" hidden="1">
      <c r="A76" s="10" t="s">
        <v>121</v>
      </c>
      <c r="B76" s="10" t="s">
        <v>122</v>
      </c>
      <c r="C76" s="11">
        <v>200883</v>
      </c>
      <c r="D76" s="11">
        <v>104869</v>
      </c>
      <c r="E76" s="11">
        <f>C76+D76</f>
        <v>305752</v>
      </c>
      <c r="F76" s="11">
        <v>-45863</v>
      </c>
      <c r="G76" s="11">
        <f>E76+F76</f>
        <v>259889</v>
      </c>
      <c r="H76" s="11"/>
      <c r="I76" s="11"/>
      <c r="J76" s="11">
        <f t="shared" si="2"/>
        <v>0</v>
      </c>
      <c r="K76" s="11"/>
      <c r="L76" s="11"/>
      <c r="M76" s="11">
        <f t="shared" si="3"/>
        <v>0</v>
      </c>
      <c r="N76" s="11"/>
      <c r="O76" s="11">
        <f t="shared" si="4"/>
        <v>259889</v>
      </c>
      <c r="P76" s="11">
        <v>259889</v>
      </c>
      <c r="Q76" s="11"/>
      <c r="R76" s="11">
        <f t="shared" si="5"/>
        <v>259889</v>
      </c>
      <c r="S76" s="11">
        <f t="shared" si="9"/>
        <v>0</v>
      </c>
      <c r="T76" s="37">
        <f t="shared" si="7"/>
        <v>0</v>
      </c>
      <c r="U76" s="37">
        <f t="shared" si="8"/>
        <v>0</v>
      </c>
    </row>
    <row r="77" spans="1:21" s="12" customFormat="1" ht="131.25">
      <c r="A77" s="10" t="s">
        <v>201</v>
      </c>
      <c r="B77" s="10" t="s">
        <v>202</v>
      </c>
      <c r="C77" s="11"/>
      <c r="D77" s="11">
        <v>4387</v>
      </c>
      <c r="E77" s="11">
        <f>C77+D77</f>
        <v>4387</v>
      </c>
      <c r="F77" s="11"/>
      <c r="G77" s="11">
        <f>E77+F77</f>
        <v>4387</v>
      </c>
      <c r="H77" s="11"/>
      <c r="I77" s="11"/>
      <c r="J77" s="11"/>
      <c r="K77" s="11"/>
      <c r="L77" s="11"/>
      <c r="M77" s="11"/>
      <c r="N77" s="11"/>
      <c r="O77" s="11">
        <f t="shared" si="4"/>
        <v>4387</v>
      </c>
      <c r="P77" s="11">
        <v>4387</v>
      </c>
      <c r="Q77" s="11">
        <v>6280</v>
      </c>
      <c r="R77" s="11">
        <f t="shared" si="5"/>
        <v>10667</v>
      </c>
      <c r="S77" s="11">
        <f t="shared" si="9"/>
        <v>6280</v>
      </c>
      <c r="T77" s="37">
        <f t="shared" si="7"/>
        <v>1.4315021654889446</v>
      </c>
      <c r="U77" s="37">
        <f t="shared" si="8"/>
        <v>0.004375614449839642</v>
      </c>
    </row>
    <row r="78" spans="1:21" s="12" customFormat="1" ht="56.25">
      <c r="A78" s="10" t="s">
        <v>261</v>
      </c>
      <c r="B78" s="10" t="s">
        <v>77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>
        <v>13300</v>
      </c>
      <c r="R78" s="11">
        <f t="shared" si="5"/>
        <v>13300</v>
      </c>
      <c r="S78" s="11">
        <f t="shared" si="9"/>
        <v>13300</v>
      </c>
      <c r="T78" s="37" t="e">
        <f t="shared" si="7"/>
        <v>#DIV/0!</v>
      </c>
      <c r="U78" s="37">
        <f t="shared" si="8"/>
        <v>0.009266826780711343</v>
      </c>
    </row>
    <row r="79" spans="1:21" s="12" customFormat="1" ht="56.25">
      <c r="A79" s="10" t="s">
        <v>280</v>
      </c>
      <c r="B79" s="10" t="s">
        <v>77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>
        <v>16900</v>
      </c>
      <c r="R79" s="11">
        <f t="shared" si="5"/>
        <v>16900</v>
      </c>
      <c r="S79" s="11">
        <f t="shared" si="9"/>
        <v>16900</v>
      </c>
      <c r="T79" s="37" t="e">
        <f t="shared" si="7"/>
        <v>#DIV/0!</v>
      </c>
      <c r="U79" s="37">
        <f t="shared" si="8"/>
        <v>0.011775140796542986</v>
      </c>
    </row>
    <row r="80" spans="1:21" s="12" customFormat="1" ht="56.25">
      <c r="A80" s="10" t="s">
        <v>220</v>
      </c>
      <c r="B80" s="10" t="s">
        <v>77</v>
      </c>
      <c r="C80" s="11"/>
      <c r="D80" s="11">
        <f>16700</f>
        <v>16700</v>
      </c>
      <c r="E80" s="11">
        <f>C80+D80</f>
        <v>16700</v>
      </c>
      <c r="F80" s="11"/>
      <c r="G80" s="11">
        <f>E80+F80</f>
        <v>16700</v>
      </c>
      <c r="H80" s="11"/>
      <c r="I80" s="11"/>
      <c r="J80" s="11"/>
      <c r="K80" s="11"/>
      <c r="L80" s="11"/>
      <c r="M80" s="11"/>
      <c r="N80" s="11"/>
      <c r="O80" s="11">
        <f t="shared" si="4"/>
        <v>16700</v>
      </c>
      <c r="P80" s="11">
        <v>16700</v>
      </c>
      <c r="Q80" s="11">
        <v>-16700</v>
      </c>
      <c r="R80" s="11">
        <f t="shared" si="5"/>
        <v>0</v>
      </c>
      <c r="S80" s="11">
        <f t="shared" si="9"/>
        <v>-16700</v>
      </c>
      <c r="T80" s="37">
        <f t="shared" si="7"/>
        <v>-1</v>
      </c>
      <c r="U80" s="37">
        <f t="shared" si="8"/>
        <v>-0.011635790017885672</v>
      </c>
    </row>
    <row r="81" spans="1:21" s="12" customFormat="1" ht="56.25">
      <c r="A81" s="10" t="s">
        <v>178</v>
      </c>
      <c r="B81" s="10" t="s">
        <v>77</v>
      </c>
      <c r="C81" s="14">
        <v>60000</v>
      </c>
      <c r="D81" s="14">
        <v>680000</v>
      </c>
      <c r="E81" s="14">
        <f>C81+D81</f>
        <v>740000</v>
      </c>
      <c r="F81" s="14"/>
      <c r="G81" s="14">
        <f>E81+F81</f>
        <v>740000</v>
      </c>
      <c r="H81" s="14"/>
      <c r="I81" s="14"/>
      <c r="J81" s="14">
        <f t="shared" si="2"/>
        <v>0</v>
      </c>
      <c r="K81" s="14"/>
      <c r="L81" s="14"/>
      <c r="M81" s="14">
        <f t="shared" si="3"/>
        <v>0</v>
      </c>
      <c r="N81" s="14"/>
      <c r="O81" s="14">
        <f t="shared" si="4"/>
        <v>740000</v>
      </c>
      <c r="P81" s="14">
        <v>740000</v>
      </c>
      <c r="Q81" s="14">
        <v>-680000</v>
      </c>
      <c r="R81" s="14">
        <f aca="true" t="shared" si="10" ref="R81:R142">P81+Q81</f>
        <v>60000</v>
      </c>
      <c r="S81" s="14">
        <f t="shared" si="9"/>
        <v>-680000</v>
      </c>
      <c r="T81" s="39">
        <f t="shared" si="7"/>
        <v>-0.918918918918919</v>
      </c>
      <c r="U81" s="39">
        <f t="shared" si="8"/>
        <v>-0.4737926474348657</v>
      </c>
    </row>
    <row r="82" spans="1:21" s="12" customFormat="1" ht="56.25" hidden="1">
      <c r="A82" s="10" t="s">
        <v>120</v>
      </c>
      <c r="B82" s="10" t="s">
        <v>77</v>
      </c>
      <c r="C82" s="11">
        <v>6065680</v>
      </c>
      <c r="D82" s="11">
        <v>320</v>
      </c>
      <c r="E82" s="11">
        <f>C82+D82</f>
        <v>6066000</v>
      </c>
      <c r="F82" s="11">
        <v>-909900</v>
      </c>
      <c r="G82" s="11">
        <f>E82+F82</f>
        <v>5156100</v>
      </c>
      <c r="H82" s="11">
        <v>4238240</v>
      </c>
      <c r="I82" s="11"/>
      <c r="J82" s="11">
        <f t="shared" si="2"/>
        <v>4238240</v>
      </c>
      <c r="K82" s="11"/>
      <c r="L82" s="11"/>
      <c r="M82" s="11">
        <f t="shared" si="3"/>
        <v>0</v>
      </c>
      <c r="N82" s="11"/>
      <c r="O82" s="11">
        <f t="shared" si="4"/>
        <v>5156100</v>
      </c>
      <c r="P82" s="11">
        <v>5156100</v>
      </c>
      <c r="Q82" s="11"/>
      <c r="R82" s="11">
        <f t="shared" si="10"/>
        <v>5156100</v>
      </c>
      <c r="S82" s="11">
        <f t="shared" si="9"/>
        <v>0</v>
      </c>
      <c r="T82" s="37">
        <f t="shared" si="7"/>
        <v>0</v>
      </c>
      <c r="U82" s="37">
        <f t="shared" si="8"/>
        <v>0</v>
      </c>
    </row>
    <row r="83" spans="1:21" s="12" customFormat="1" ht="75" hidden="1">
      <c r="A83" s="10" t="s">
        <v>213</v>
      </c>
      <c r="B83" s="10" t="s">
        <v>203</v>
      </c>
      <c r="C83" s="11"/>
      <c r="D83" s="11">
        <v>57820</v>
      </c>
      <c r="E83" s="11">
        <f>C83+D83</f>
        <v>57820</v>
      </c>
      <c r="F83" s="11"/>
      <c r="G83" s="11">
        <f>E83+F83</f>
        <v>57820</v>
      </c>
      <c r="H83" s="11"/>
      <c r="I83" s="11"/>
      <c r="J83" s="11"/>
      <c r="K83" s="11"/>
      <c r="L83" s="11"/>
      <c r="M83" s="11"/>
      <c r="N83" s="11"/>
      <c r="O83" s="11">
        <f aca="true" t="shared" si="11" ref="O83:O142">G83+N83</f>
        <v>57820</v>
      </c>
      <c r="P83" s="11">
        <v>57820</v>
      </c>
      <c r="Q83" s="11"/>
      <c r="R83" s="11">
        <f t="shared" si="10"/>
        <v>57820</v>
      </c>
      <c r="S83" s="11">
        <f t="shared" si="9"/>
        <v>0</v>
      </c>
      <c r="T83" s="37">
        <f t="shared" si="7"/>
        <v>0</v>
      </c>
      <c r="U83" s="37">
        <f t="shared" si="8"/>
        <v>0</v>
      </c>
    </row>
    <row r="84" spans="1:21" s="12" customFormat="1" ht="270" customHeight="1">
      <c r="A84" s="10" t="s">
        <v>262</v>
      </c>
      <c r="B84" s="10" t="s">
        <v>263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>
        <v>305000</v>
      </c>
      <c r="R84" s="11">
        <f t="shared" si="10"/>
        <v>305000</v>
      </c>
      <c r="S84" s="11">
        <f t="shared" si="9"/>
        <v>305000</v>
      </c>
      <c r="T84" s="37" t="e">
        <f t="shared" si="7"/>
        <v>#DIV/0!</v>
      </c>
      <c r="U84" s="37">
        <f t="shared" si="8"/>
        <v>0.21250993745240299</v>
      </c>
    </row>
    <row r="85" spans="1:21" s="12" customFormat="1" ht="206.25">
      <c r="A85" s="10" t="s">
        <v>287</v>
      </c>
      <c r="B85" s="10" t="s">
        <v>264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>
        <v>6155</v>
      </c>
      <c r="R85" s="11">
        <f t="shared" si="10"/>
        <v>6155</v>
      </c>
      <c r="S85" s="11">
        <f t="shared" si="9"/>
        <v>6155</v>
      </c>
      <c r="T85" s="37" t="e">
        <f t="shared" si="7"/>
        <v>#DIV/0!</v>
      </c>
      <c r="U85" s="37">
        <f t="shared" si="8"/>
        <v>0.0042885202131788215</v>
      </c>
    </row>
    <row r="86" spans="1:21" s="12" customFormat="1" ht="37.5" hidden="1">
      <c r="A86" s="10" t="s">
        <v>129</v>
      </c>
      <c r="B86" s="10" t="s">
        <v>78</v>
      </c>
      <c r="C86" s="11">
        <v>7400</v>
      </c>
      <c r="D86" s="11"/>
      <c r="E86" s="11">
        <f>C86+D86</f>
        <v>7400</v>
      </c>
      <c r="F86" s="11"/>
      <c r="G86" s="11">
        <f>E86+F86</f>
        <v>7400</v>
      </c>
      <c r="H86" s="11">
        <v>7400</v>
      </c>
      <c r="I86" s="11"/>
      <c r="J86" s="11">
        <f t="shared" si="2"/>
        <v>7400</v>
      </c>
      <c r="K86" s="11">
        <v>7400</v>
      </c>
      <c r="L86" s="11"/>
      <c r="M86" s="11">
        <f t="shared" si="3"/>
        <v>7400</v>
      </c>
      <c r="N86" s="11"/>
      <c r="O86" s="11">
        <f t="shared" si="11"/>
        <v>7400</v>
      </c>
      <c r="P86" s="11">
        <v>7400</v>
      </c>
      <c r="Q86" s="11"/>
      <c r="R86" s="11">
        <f t="shared" si="10"/>
        <v>7400</v>
      </c>
      <c r="S86" s="11">
        <f t="shared" si="9"/>
        <v>0</v>
      </c>
      <c r="T86" s="37">
        <f t="shared" si="7"/>
        <v>0</v>
      </c>
      <c r="U86" s="37">
        <f t="shared" si="8"/>
        <v>0</v>
      </c>
    </row>
    <row r="87" spans="1:21" s="12" customFormat="1" ht="75" hidden="1">
      <c r="A87" s="10" t="s">
        <v>130</v>
      </c>
      <c r="B87" s="10" t="s">
        <v>79</v>
      </c>
      <c r="C87" s="11">
        <v>4217</v>
      </c>
      <c r="D87" s="11"/>
      <c r="E87" s="11">
        <f>C87+D87</f>
        <v>4217</v>
      </c>
      <c r="F87" s="11"/>
      <c r="G87" s="11">
        <f>E87+F87</f>
        <v>4217</v>
      </c>
      <c r="H87" s="11">
        <v>4167</v>
      </c>
      <c r="I87" s="11"/>
      <c r="J87" s="11">
        <f t="shared" si="2"/>
        <v>4167</v>
      </c>
      <c r="K87" s="11"/>
      <c r="L87" s="11"/>
      <c r="M87" s="11">
        <f t="shared" si="3"/>
        <v>0</v>
      </c>
      <c r="N87" s="11"/>
      <c r="O87" s="11">
        <f t="shared" si="11"/>
        <v>4217</v>
      </c>
      <c r="P87" s="11">
        <v>4217</v>
      </c>
      <c r="Q87" s="11"/>
      <c r="R87" s="11">
        <f t="shared" si="10"/>
        <v>4217</v>
      </c>
      <c r="S87" s="11">
        <f t="shared" si="9"/>
        <v>0</v>
      </c>
      <c r="T87" s="37">
        <f t="shared" si="7"/>
        <v>0</v>
      </c>
      <c r="U87" s="37">
        <f t="shared" si="8"/>
        <v>0</v>
      </c>
    </row>
    <row r="88" spans="1:21" s="12" customFormat="1" ht="131.25">
      <c r="A88" s="10" t="s">
        <v>221</v>
      </c>
      <c r="B88" s="10" t="s">
        <v>222</v>
      </c>
      <c r="C88" s="11"/>
      <c r="D88" s="11">
        <v>156000</v>
      </c>
      <c r="E88" s="11">
        <f>C88+D88</f>
        <v>156000</v>
      </c>
      <c r="F88" s="11"/>
      <c r="G88" s="11">
        <f>E88+F88</f>
        <v>156000</v>
      </c>
      <c r="H88" s="11"/>
      <c r="I88" s="11"/>
      <c r="J88" s="11"/>
      <c r="K88" s="11"/>
      <c r="L88" s="11"/>
      <c r="M88" s="11"/>
      <c r="N88" s="11"/>
      <c r="O88" s="11">
        <f t="shared" si="11"/>
        <v>156000</v>
      </c>
      <c r="P88" s="11">
        <v>156000</v>
      </c>
      <c r="Q88" s="11">
        <v>-23400</v>
      </c>
      <c r="R88" s="11">
        <f t="shared" si="10"/>
        <v>132600</v>
      </c>
      <c r="S88" s="11">
        <f t="shared" si="9"/>
        <v>-23400</v>
      </c>
      <c r="T88" s="37">
        <f t="shared" si="7"/>
        <v>-0.15</v>
      </c>
      <c r="U88" s="37">
        <f t="shared" si="8"/>
        <v>-0.016304041102905672</v>
      </c>
    </row>
    <row r="89" spans="1:21" s="12" customFormat="1" ht="168.75">
      <c r="A89" s="10" t="s">
        <v>177</v>
      </c>
      <c r="B89" s="10" t="s">
        <v>180</v>
      </c>
      <c r="C89" s="11">
        <v>1226000</v>
      </c>
      <c r="D89" s="11">
        <v>-956000</v>
      </c>
      <c r="E89" s="11">
        <f>C89+D89</f>
        <v>270000</v>
      </c>
      <c r="F89" s="11"/>
      <c r="G89" s="11">
        <f>E89+F89</f>
        <v>270000</v>
      </c>
      <c r="H89" s="11">
        <v>690000</v>
      </c>
      <c r="I89" s="11"/>
      <c r="J89" s="11">
        <f t="shared" si="2"/>
        <v>690000</v>
      </c>
      <c r="K89" s="11"/>
      <c r="L89" s="11"/>
      <c r="M89" s="11">
        <f t="shared" si="3"/>
        <v>0</v>
      </c>
      <c r="N89" s="11"/>
      <c r="O89" s="11">
        <f t="shared" si="11"/>
        <v>270000</v>
      </c>
      <c r="P89" s="11">
        <v>270000</v>
      </c>
      <c r="Q89" s="11">
        <v>680000</v>
      </c>
      <c r="R89" s="11">
        <f t="shared" si="10"/>
        <v>950000</v>
      </c>
      <c r="S89" s="11">
        <f t="shared" si="9"/>
        <v>680000</v>
      </c>
      <c r="T89" s="37">
        <f t="shared" si="7"/>
        <v>2.5185185185185186</v>
      </c>
      <c r="U89" s="37">
        <f t="shared" si="8"/>
        <v>0.4737926474348657</v>
      </c>
    </row>
    <row r="90" spans="1:21" s="12" customFormat="1" ht="168.75" hidden="1">
      <c r="A90" s="10" t="s">
        <v>223</v>
      </c>
      <c r="B90" s="10" t="s">
        <v>180</v>
      </c>
      <c r="C90" s="11"/>
      <c r="D90" s="11">
        <v>860000</v>
      </c>
      <c r="E90" s="11">
        <f>C90+D90</f>
        <v>860000</v>
      </c>
      <c r="F90" s="11"/>
      <c r="G90" s="11">
        <f>E90+F90</f>
        <v>860000</v>
      </c>
      <c r="H90" s="11"/>
      <c r="I90" s="11"/>
      <c r="J90" s="11"/>
      <c r="K90" s="11"/>
      <c r="L90" s="11"/>
      <c r="M90" s="11"/>
      <c r="N90" s="11"/>
      <c r="O90" s="11">
        <f t="shared" si="11"/>
        <v>860000</v>
      </c>
      <c r="P90" s="11">
        <v>860000</v>
      </c>
      <c r="Q90" s="11"/>
      <c r="R90" s="11">
        <f t="shared" si="10"/>
        <v>860000</v>
      </c>
      <c r="S90" s="11">
        <f t="shared" si="9"/>
        <v>0</v>
      </c>
      <c r="T90" s="37">
        <f t="shared" si="7"/>
        <v>0</v>
      </c>
      <c r="U90" s="37">
        <f t="shared" si="8"/>
        <v>0</v>
      </c>
    </row>
    <row r="91" spans="1:21" s="12" customFormat="1" ht="75">
      <c r="A91" s="10" t="s">
        <v>281</v>
      </c>
      <c r="B91" s="10" t="s">
        <v>282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>
        <v>16700</v>
      </c>
      <c r="R91" s="11">
        <f t="shared" si="10"/>
        <v>16700</v>
      </c>
      <c r="S91" s="11">
        <f t="shared" si="9"/>
        <v>16700</v>
      </c>
      <c r="T91" s="37" t="e">
        <f t="shared" si="7"/>
        <v>#DIV/0!</v>
      </c>
      <c r="U91" s="37">
        <f t="shared" si="8"/>
        <v>0.011635790017885672</v>
      </c>
    </row>
    <row r="92" spans="1:21" s="12" customFormat="1" ht="75">
      <c r="A92" s="10" t="s">
        <v>283</v>
      </c>
      <c r="B92" s="10" t="s">
        <v>286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>
        <v>1008</v>
      </c>
      <c r="R92" s="11">
        <f t="shared" si="10"/>
        <v>1008</v>
      </c>
      <c r="S92" s="11">
        <f t="shared" si="9"/>
        <v>1008</v>
      </c>
      <c r="T92" s="37" t="e">
        <f t="shared" si="7"/>
        <v>#DIV/0!</v>
      </c>
      <c r="U92" s="37">
        <f t="shared" si="8"/>
        <v>0.0007023279244328598</v>
      </c>
    </row>
    <row r="93" spans="1:21" s="12" customFormat="1" ht="56.25">
      <c r="A93" s="10" t="s">
        <v>267</v>
      </c>
      <c r="B93" s="10" t="s">
        <v>268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>
        <v>21734</v>
      </c>
      <c r="R93" s="11">
        <f t="shared" si="10"/>
        <v>21734</v>
      </c>
      <c r="S93" s="11">
        <f t="shared" si="9"/>
        <v>21734</v>
      </c>
      <c r="T93" s="37" t="e">
        <f t="shared" si="7"/>
        <v>#DIV/0!</v>
      </c>
      <c r="U93" s="37">
        <f t="shared" si="8"/>
        <v>0.015143249116690252</v>
      </c>
    </row>
    <row r="94" spans="1:21" s="12" customFormat="1" ht="75">
      <c r="A94" s="10" t="s">
        <v>278</v>
      </c>
      <c r="B94" s="10" t="s">
        <v>277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>
        <v>4000</v>
      </c>
      <c r="R94" s="11">
        <f>P94+Q94</f>
        <v>4000</v>
      </c>
      <c r="S94" s="11">
        <f t="shared" si="9"/>
        <v>4000</v>
      </c>
      <c r="T94" s="37" t="e">
        <f t="shared" si="7"/>
        <v>#DIV/0!</v>
      </c>
      <c r="U94" s="37">
        <f t="shared" si="8"/>
        <v>0.002787015573146269</v>
      </c>
    </row>
    <row r="95" spans="1:21" s="12" customFormat="1" ht="75">
      <c r="A95" s="10" t="s">
        <v>265</v>
      </c>
      <c r="B95" s="10" t="s">
        <v>266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>
        <v>26000</v>
      </c>
      <c r="R95" s="11">
        <f t="shared" si="10"/>
        <v>26000</v>
      </c>
      <c r="S95" s="11">
        <f t="shared" si="9"/>
        <v>26000</v>
      </c>
      <c r="T95" s="37" t="e">
        <f t="shared" si="7"/>
        <v>#DIV/0!</v>
      </c>
      <c r="U95" s="37">
        <f t="shared" si="8"/>
        <v>0.018115601225450747</v>
      </c>
    </row>
    <row r="96" spans="1:21" s="12" customFormat="1" ht="168.75" hidden="1">
      <c r="A96" s="10" t="s">
        <v>234</v>
      </c>
      <c r="B96" s="10" t="s">
        <v>235</v>
      </c>
      <c r="C96" s="11"/>
      <c r="D96" s="11"/>
      <c r="E96" s="11"/>
      <c r="F96" s="11">
        <v>168466</v>
      </c>
      <c r="G96" s="11">
        <f>E96+F96</f>
        <v>168466</v>
      </c>
      <c r="H96" s="11"/>
      <c r="I96" s="11"/>
      <c r="J96" s="11"/>
      <c r="K96" s="11"/>
      <c r="L96" s="11"/>
      <c r="M96" s="11"/>
      <c r="N96" s="11"/>
      <c r="O96" s="11">
        <f t="shared" si="11"/>
        <v>168466</v>
      </c>
      <c r="P96" s="11">
        <v>168466</v>
      </c>
      <c r="Q96" s="11"/>
      <c r="R96" s="11">
        <f t="shared" si="10"/>
        <v>168466</v>
      </c>
      <c r="S96" s="11">
        <f t="shared" si="9"/>
        <v>0</v>
      </c>
      <c r="T96" s="37">
        <f t="shared" si="7"/>
        <v>0</v>
      </c>
      <c r="U96" s="37">
        <f t="shared" si="8"/>
        <v>0</v>
      </c>
    </row>
    <row r="97" spans="1:21" s="12" customFormat="1" ht="168.75" hidden="1">
      <c r="A97" s="10" t="s">
        <v>217</v>
      </c>
      <c r="B97" s="10" t="s">
        <v>218</v>
      </c>
      <c r="C97" s="11"/>
      <c r="D97" s="11">
        <v>252860</v>
      </c>
      <c r="E97" s="11">
        <f>C97+D97</f>
        <v>252860</v>
      </c>
      <c r="F97" s="11"/>
      <c r="G97" s="11">
        <f>E97+F97</f>
        <v>252860</v>
      </c>
      <c r="H97" s="11"/>
      <c r="I97" s="11"/>
      <c r="J97" s="11"/>
      <c r="K97" s="11"/>
      <c r="L97" s="11"/>
      <c r="M97" s="11"/>
      <c r="N97" s="11"/>
      <c r="O97" s="11">
        <f t="shared" si="11"/>
        <v>252860</v>
      </c>
      <c r="P97" s="11">
        <v>252860</v>
      </c>
      <c r="Q97" s="11"/>
      <c r="R97" s="11">
        <f t="shared" si="10"/>
        <v>252860</v>
      </c>
      <c r="S97" s="11">
        <f t="shared" si="9"/>
        <v>0</v>
      </c>
      <c r="T97" s="37">
        <f t="shared" si="7"/>
        <v>0</v>
      </c>
      <c r="U97" s="37">
        <f t="shared" si="8"/>
        <v>0</v>
      </c>
    </row>
    <row r="98" spans="1:21" s="12" customFormat="1" ht="225">
      <c r="A98" s="10" t="s">
        <v>186</v>
      </c>
      <c r="B98" s="10" t="s">
        <v>187</v>
      </c>
      <c r="C98" s="11">
        <v>199949</v>
      </c>
      <c r="D98" s="11"/>
      <c r="E98" s="11">
        <f>C98+D98</f>
        <v>199949</v>
      </c>
      <c r="F98" s="11"/>
      <c r="G98" s="11">
        <f>E98+F98</f>
        <v>199949</v>
      </c>
      <c r="H98" s="11"/>
      <c r="I98" s="11"/>
      <c r="J98" s="11">
        <f t="shared" si="2"/>
        <v>0</v>
      </c>
      <c r="K98" s="11"/>
      <c r="L98" s="11"/>
      <c r="M98" s="11">
        <f t="shared" si="3"/>
        <v>0</v>
      </c>
      <c r="N98" s="11"/>
      <c r="O98" s="11">
        <f t="shared" si="11"/>
        <v>199949</v>
      </c>
      <c r="P98" s="11">
        <v>199949</v>
      </c>
      <c r="Q98" s="11">
        <v>-12877</v>
      </c>
      <c r="R98" s="11">
        <f t="shared" si="10"/>
        <v>187072</v>
      </c>
      <c r="S98" s="11">
        <f t="shared" si="9"/>
        <v>-12877</v>
      </c>
      <c r="T98" s="37">
        <f t="shared" si="7"/>
        <v>-0.06440142236270249</v>
      </c>
      <c r="U98" s="37">
        <f t="shared" si="8"/>
        <v>-0.008972099883851127</v>
      </c>
    </row>
    <row r="99" spans="1:21" s="12" customFormat="1" ht="93.75">
      <c r="A99" s="10" t="s">
        <v>194</v>
      </c>
      <c r="B99" s="10" t="s">
        <v>195</v>
      </c>
      <c r="C99" s="11"/>
      <c r="D99" s="11">
        <v>203822</v>
      </c>
      <c r="E99" s="11">
        <f>C99+D99</f>
        <v>203822</v>
      </c>
      <c r="F99" s="11"/>
      <c r="G99" s="11">
        <f>E99+F99</f>
        <v>203822</v>
      </c>
      <c r="H99" s="11"/>
      <c r="I99" s="11"/>
      <c r="J99" s="11"/>
      <c r="K99" s="11"/>
      <c r="L99" s="11"/>
      <c r="M99" s="11"/>
      <c r="N99" s="11"/>
      <c r="O99" s="11">
        <f t="shared" si="11"/>
        <v>203822</v>
      </c>
      <c r="P99" s="11">
        <v>203822</v>
      </c>
      <c r="Q99" s="11">
        <v>305733</v>
      </c>
      <c r="R99" s="11">
        <f t="shared" si="10"/>
        <v>509555</v>
      </c>
      <c r="S99" s="11">
        <f t="shared" si="9"/>
        <v>305733</v>
      </c>
      <c r="T99" s="37">
        <f t="shared" si="7"/>
        <v>1.5</v>
      </c>
      <c r="U99" s="37">
        <f t="shared" si="8"/>
        <v>0.21302065805618206</v>
      </c>
    </row>
    <row r="100" spans="1:21" s="12" customFormat="1" ht="56.25" hidden="1">
      <c r="A100" s="10" t="s">
        <v>242</v>
      </c>
      <c r="B100" s="19" t="s">
        <v>243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>
        <v>189072</v>
      </c>
      <c r="O100" s="21">
        <f>G100+N100</f>
        <v>189072</v>
      </c>
      <c r="P100" s="21">
        <v>189072</v>
      </c>
      <c r="Q100" s="21"/>
      <c r="R100" s="21">
        <f>P100+Q100</f>
        <v>189072</v>
      </c>
      <c r="S100" s="21">
        <f t="shared" si="9"/>
        <v>0</v>
      </c>
      <c r="T100" s="42">
        <f t="shared" si="7"/>
        <v>0</v>
      </c>
      <c r="U100" s="42">
        <f t="shared" si="8"/>
        <v>0</v>
      </c>
    </row>
    <row r="101" spans="1:21" s="12" customFormat="1" ht="93.75">
      <c r="A101" s="10" t="s">
        <v>275</v>
      </c>
      <c r="B101" s="22" t="s">
        <v>276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1"/>
      <c r="P101" s="21"/>
      <c r="Q101" s="21">
        <v>624</v>
      </c>
      <c r="R101" s="21">
        <f>P101+Q101</f>
        <v>624</v>
      </c>
      <c r="S101" s="21">
        <f t="shared" si="9"/>
        <v>624</v>
      </c>
      <c r="T101" s="42" t="e">
        <f t="shared" si="7"/>
        <v>#DIV/0!</v>
      </c>
      <c r="U101" s="42">
        <f t="shared" si="8"/>
        <v>0.00043477442941081796</v>
      </c>
    </row>
    <row r="102" spans="1:21" s="12" customFormat="1" ht="168.75">
      <c r="A102" s="10" t="s">
        <v>279</v>
      </c>
      <c r="B102" s="22" t="s">
        <v>297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1"/>
      <c r="P102" s="21"/>
      <c r="Q102" s="21">
        <v>3742</v>
      </c>
      <c r="R102" s="21">
        <f>P102+Q102</f>
        <v>3742</v>
      </c>
      <c r="S102" s="21">
        <f t="shared" si="9"/>
        <v>3742</v>
      </c>
      <c r="T102" s="42" t="e">
        <f t="shared" si="7"/>
        <v>#DIV/0!</v>
      </c>
      <c r="U102" s="42">
        <f t="shared" si="8"/>
        <v>0.0026072530686783346</v>
      </c>
    </row>
    <row r="103" spans="1:21" s="12" customFormat="1" ht="56.25">
      <c r="A103" s="6" t="s">
        <v>81</v>
      </c>
      <c r="B103" s="6" t="s">
        <v>80</v>
      </c>
      <c r="C103" s="17">
        <v>1806077</v>
      </c>
      <c r="D103" s="17" t="e">
        <f>D104+D105+D106+D107+D108+D109+D110+D111+D112+D113+D114+D115+D116+D117+D118+D119+D120+D121+#REF!+D124+D123</f>
        <v>#REF!</v>
      </c>
      <c r="E103" s="17" t="e">
        <f>E104+E105+E106+E107+E108+E109+E110+E111+E112+E113+E114+E115+E116+E117+E118+E119+E120+E121+#REF!+E124+E123</f>
        <v>#REF!</v>
      </c>
      <c r="F103" s="17" t="e">
        <f>F104+F105+F106+F107+F108+F109+F110+F111+F112+F113+F114+F115+F116+F117+F118+F119+F120+F121+F122+#REF!+F124+F123</f>
        <v>#REF!</v>
      </c>
      <c r="G103" s="17" t="e">
        <f>G104+G105+G106+G107+G108+G109+G110+G111+G112+G113+G114+G115+G116+G117+G118+G119+G120+G121+G122+#REF!+G124+G123</f>
        <v>#REF!</v>
      </c>
      <c r="H103" s="17" t="e">
        <f>H104+H105+H106+H107+H108+H109+H110+H111+H112+H113+H114+H115+H116+H117+H118+H119+H120+H121+#REF!</f>
        <v>#REF!</v>
      </c>
      <c r="I103" s="17">
        <v>0</v>
      </c>
      <c r="J103" s="17" t="e">
        <f aca="true" t="shared" si="12" ref="J103:J142">H103+I103</f>
        <v>#REF!</v>
      </c>
      <c r="K103" s="17">
        <v>1913577</v>
      </c>
      <c r="L103" s="17">
        <v>0</v>
      </c>
      <c r="M103" s="17">
        <f aca="true" t="shared" si="13" ref="M103:M142">K103+L103</f>
        <v>1913577</v>
      </c>
      <c r="N103" s="17" t="e">
        <f>N104+N105+N106+N107+N108+N109+N110+N111+N112+N113+N114+N115+N116+N117+N118+N119+N120+N121+N122+#REF!+N124+N123</f>
        <v>#REF!</v>
      </c>
      <c r="O103" s="17" t="e">
        <f t="shared" si="11"/>
        <v>#REF!</v>
      </c>
      <c r="P103" s="17">
        <v>2349940</v>
      </c>
      <c r="Q103" s="17">
        <f>SUM(Q104:Q126)</f>
        <v>252776</v>
      </c>
      <c r="R103" s="17">
        <f t="shared" si="10"/>
        <v>2602716</v>
      </c>
      <c r="S103" s="17">
        <f t="shared" si="9"/>
        <v>252776</v>
      </c>
      <c r="T103" s="41">
        <f t="shared" si="7"/>
        <v>0.10756700171068198</v>
      </c>
      <c r="U103" s="41">
        <f t="shared" si="8"/>
        <v>0.1761226621294053</v>
      </c>
    </row>
    <row r="104" spans="1:21" s="12" customFormat="1" ht="75" hidden="1">
      <c r="A104" s="10" t="s">
        <v>102</v>
      </c>
      <c r="B104" s="10" t="s">
        <v>82</v>
      </c>
      <c r="C104" s="11">
        <v>894567</v>
      </c>
      <c r="D104" s="11"/>
      <c r="E104" s="11">
        <f aca="true" t="shared" si="14" ref="E104:G142">C104+D104</f>
        <v>894567</v>
      </c>
      <c r="F104" s="11"/>
      <c r="G104" s="11">
        <f t="shared" si="14"/>
        <v>894567</v>
      </c>
      <c r="H104" s="11">
        <v>1000116</v>
      </c>
      <c r="I104" s="11"/>
      <c r="J104" s="11">
        <f t="shared" si="12"/>
        <v>1000116</v>
      </c>
      <c r="K104" s="11">
        <v>1104085</v>
      </c>
      <c r="L104" s="11"/>
      <c r="M104" s="11">
        <f t="shared" si="13"/>
        <v>1104085</v>
      </c>
      <c r="N104" s="11"/>
      <c r="O104" s="11">
        <f t="shared" si="11"/>
        <v>894567</v>
      </c>
      <c r="P104" s="11">
        <v>894567</v>
      </c>
      <c r="Q104" s="11"/>
      <c r="R104" s="11">
        <f t="shared" si="10"/>
        <v>894567</v>
      </c>
      <c r="S104" s="11">
        <f t="shared" si="9"/>
        <v>0</v>
      </c>
      <c r="T104" s="37">
        <f t="shared" si="7"/>
        <v>0</v>
      </c>
      <c r="U104" s="37">
        <f t="shared" si="8"/>
        <v>0</v>
      </c>
    </row>
    <row r="105" spans="1:21" s="12" customFormat="1" ht="56.25" hidden="1">
      <c r="A105" s="10" t="s">
        <v>137</v>
      </c>
      <c r="B105" s="10" t="s">
        <v>83</v>
      </c>
      <c r="C105" s="11">
        <v>51891</v>
      </c>
      <c r="D105" s="11"/>
      <c r="E105" s="11">
        <f t="shared" si="14"/>
        <v>51891</v>
      </c>
      <c r="F105" s="11"/>
      <c r="G105" s="11">
        <f t="shared" si="14"/>
        <v>51891</v>
      </c>
      <c r="H105" s="11">
        <v>57029</v>
      </c>
      <c r="I105" s="11"/>
      <c r="J105" s="11">
        <f t="shared" si="12"/>
        <v>57029</v>
      </c>
      <c r="K105" s="11">
        <v>60840</v>
      </c>
      <c r="L105" s="11"/>
      <c r="M105" s="11">
        <f t="shared" si="13"/>
        <v>60840</v>
      </c>
      <c r="N105" s="11"/>
      <c r="O105" s="11">
        <f t="shared" si="11"/>
        <v>51891</v>
      </c>
      <c r="P105" s="11">
        <v>51891</v>
      </c>
      <c r="Q105" s="11"/>
      <c r="R105" s="11">
        <f t="shared" si="10"/>
        <v>51891</v>
      </c>
      <c r="S105" s="11">
        <f t="shared" si="9"/>
        <v>0</v>
      </c>
      <c r="T105" s="37">
        <f t="shared" si="7"/>
        <v>0</v>
      </c>
      <c r="U105" s="37">
        <f t="shared" si="8"/>
        <v>0</v>
      </c>
    </row>
    <row r="106" spans="1:21" s="12" customFormat="1" ht="93.75">
      <c r="A106" s="10" t="s">
        <v>131</v>
      </c>
      <c r="B106" s="10" t="s">
        <v>84</v>
      </c>
      <c r="C106" s="11">
        <v>60424</v>
      </c>
      <c r="D106" s="11"/>
      <c r="E106" s="11">
        <f t="shared" si="14"/>
        <v>60424</v>
      </c>
      <c r="F106" s="11"/>
      <c r="G106" s="11">
        <f t="shared" si="14"/>
        <v>60424</v>
      </c>
      <c r="H106" s="11">
        <v>64654</v>
      </c>
      <c r="I106" s="11"/>
      <c r="J106" s="11">
        <f t="shared" si="12"/>
        <v>64654</v>
      </c>
      <c r="K106" s="11">
        <v>69053</v>
      </c>
      <c r="L106" s="11"/>
      <c r="M106" s="11">
        <f t="shared" si="13"/>
        <v>69053</v>
      </c>
      <c r="N106" s="11"/>
      <c r="O106" s="11">
        <f t="shared" si="11"/>
        <v>60424</v>
      </c>
      <c r="P106" s="11">
        <v>60424</v>
      </c>
      <c r="Q106" s="11">
        <v>2516</v>
      </c>
      <c r="R106" s="11">
        <f t="shared" si="10"/>
        <v>62940</v>
      </c>
      <c r="S106" s="11">
        <f t="shared" si="9"/>
        <v>2516</v>
      </c>
      <c r="T106" s="37">
        <f t="shared" si="7"/>
        <v>0.041639083807758506</v>
      </c>
      <c r="U106" s="37">
        <f t="shared" si="8"/>
        <v>0.0017530327955090031</v>
      </c>
    </row>
    <row r="107" spans="1:21" s="12" customFormat="1" ht="56.25" hidden="1">
      <c r="A107" s="10" t="s">
        <v>115</v>
      </c>
      <c r="B107" s="10" t="s">
        <v>86</v>
      </c>
      <c r="C107" s="11">
        <v>392</v>
      </c>
      <c r="D107" s="11">
        <v>-93</v>
      </c>
      <c r="E107" s="11">
        <f t="shared" si="14"/>
        <v>299</v>
      </c>
      <c r="F107" s="11"/>
      <c r="G107" s="11">
        <f t="shared" si="14"/>
        <v>299</v>
      </c>
      <c r="H107" s="11">
        <v>392</v>
      </c>
      <c r="I107" s="11"/>
      <c r="J107" s="11">
        <f t="shared" si="12"/>
        <v>392</v>
      </c>
      <c r="K107" s="11">
        <v>392</v>
      </c>
      <c r="L107" s="11"/>
      <c r="M107" s="11">
        <f t="shared" si="13"/>
        <v>392</v>
      </c>
      <c r="N107" s="11"/>
      <c r="O107" s="11">
        <f t="shared" si="11"/>
        <v>299</v>
      </c>
      <c r="P107" s="11">
        <v>299</v>
      </c>
      <c r="Q107" s="11"/>
      <c r="R107" s="11">
        <f t="shared" si="10"/>
        <v>299</v>
      </c>
      <c r="S107" s="11">
        <f t="shared" si="9"/>
        <v>0</v>
      </c>
      <c r="T107" s="37">
        <f t="shared" si="7"/>
        <v>0</v>
      </c>
      <c r="U107" s="37">
        <f t="shared" si="8"/>
        <v>0</v>
      </c>
    </row>
    <row r="108" spans="1:21" s="12" customFormat="1" ht="75" hidden="1">
      <c r="A108" s="10" t="s">
        <v>116</v>
      </c>
      <c r="B108" s="10" t="s">
        <v>85</v>
      </c>
      <c r="C108" s="11">
        <v>358</v>
      </c>
      <c r="D108" s="11"/>
      <c r="E108" s="11">
        <f t="shared" si="14"/>
        <v>358</v>
      </c>
      <c r="F108" s="11"/>
      <c r="G108" s="11">
        <f t="shared" si="14"/>
        <v>358</v>
      </c>
      <c r="H108" s="11">
        <v>358</v>
      </c>
      <c r="I108" s="11"/>
      <c r="J108" s="11">
        <f t="shared" si="12"/>
        <v>358</v>
      </c>
      <c r="K108" s="11">
        <v>358</v>
      </c>
      <c r="L108" s="11"/>
      <c r="M108" s="11">
        <f t="shared" si="13"/>
        <v>358</v>
      </c>
      <c r="N108" s="11"/>
      <c r="O108" s="11">
        <f t="shared" si="11"/>
        <v>358</v>
      </c>
      <c r="P108" s="11">
        <v>358</v>
      </c>
      <c r="Q108" s="11"/>
      <c r="R108" s="11">
        <f t="shared" si="10"/>
        <v>358</v>
      </c>
      <c r="S108" s="11">
        <f t="shared" si="9"/>
        <v>0</v>
      </c>
      <c r="T108" s="37">
        <f t="shared" si="7"/>
        <v>0</v>
      </c>
      <c r="U108" s="37">
        <f t="shared" si="8"/>
        <v>0</v>
      </c>
    </row>
    <row r="109" spans="1:21" s="12" customFormat="1" ht="93.75" hidden="1">
      <c r="A109" s="10" t="s">
        <v>132</v>
      </c>
      <c r="B109" s="10" t="s">
        <v>87</v>
      </c>
      <c r="C109" s="11">
        <v>182</v>
      </c>
      <c r="D109" s="11"/>
      <c r="E109" s="11">
        <f t="shared" si="14"/>
        <v>182</v>
      </c>
      <c r="F109" s="11"/>
      <c r="G109" s="11">
        <f t="shared" si="14"/>
        <v>182</v>
      </c>
      <c r="H109" s="11">
        <v>210</v>
      </c>
      <c r="I109" s="11"/>
      <c r="J109" s="11">
        <f t="shared" si="12"/>
        <v>210</v>
      </c>
      <c r="K109" s="11">
        <v>216</v>
      </c>
      <c r="L109" s="11"/>
      <c r="M109" s="11">
        <f t="shared" si="13"/>
        <v>216</v>
      </c>
      <c r="N109" s="11"/>
      <c r="O109" s="11">
        <f t="shared" si="11"/>
        <v>182</v>
      </c>
      <c r="P109" s="11">
        <v>182</v>
      </c>
      <c r="Q109" s="11"/>
      <c r="R109" s="11">
        <f t="shared" si="10"/>
        <v>182</v>
      </c>
      <c r="S109" s="11">
        <f t="shared" si="9"/>
        <v>0</v>
      </c>
      <c r="T109" s="37">
        <f t="shared" si="7"/>
        <v>0</v>
      </c>
      <c r="U109" s="37">
        <f t="shared" si="8"/>
        <v>0</v>
      </c>
    </row>
    <row r="110" spans="1:21" s="12" customFormat="1" ht="93.75" hidden="1">
      <c r="A110" s="10" t="s">
        <v>133</v>
      </c>
      <c r="B110" s="10" t="s">
        <v>88</v>
      </c>
      <c r="C110" s="11">
        <v>126</v>
      </c>
      <c r="D110" s="11"/>
      <c r="E110" s="11">
        <f t="shared" si="14"/>
        <v>126</v>
      </c>
      <c r="F110" s="11"/>
      <c r="G110" s="11">
        <f t="shared" si="14"/>
        <v>126</v>
      </c>
      <c r="H110" s="11">
        <v>126</v>
      </c>
      <c r="I110" s="11"/>
      <c r="J110" s="11">
        <f t="shared" si="12"/>
        <v>126</v>
      </c>
      <c r="K110" s="11">
        <v>126</v>
      </c>
      <c r="L110" s="11"/>
      <c r="M110" s="11">
        <f t="shared" si="13"/>
        <v>126</v>
      </c>
      <c r="N110" s="11"/>
      <c r="O110" s="11">
        <f t="shared" si="11"/>
        <v>126</v>
      </c>
      <c r="P110" s="11">
        <v>126</v>
      </c>
      <c r="Q110" s="11"/>
      <c r="R110" s="11">
        <f t="shared" si="10"/>
        <v>126</v>
      </c>
      <c r="S110" s="11">
        <f t="shared" si="9"/>
        <v>0</v>
      </c>
      <c r="T110" s="37">
        <f t="shared" si="7"/>
        <v>0</v>
      </c>
      <c r="U110" s="37">
        <f t="shared" si="8"/>
        <v>0</v>
      </c>
    </row>
    <row r="111" spans="1:21" s="12" customFormat="1" ht="112.5" hidden="1">
      <c r="A111" s="10" t="s">
        <v>134</v>
      </c>
      <c r="B111" s="10" t="s">
        <v>89</v>
      </c>
      <c r="C111" s="11">
        <v>826</v>
      </c>
      <c r="D111" s="11"/>
      <c r="E111" s="11">
        <f t="shared" si="14"/>
        <v>826</v>
      </c>
      <c r="F111" s="11"/>
      <c r="G111" s="11">
        <f t="shared" si="14"/>
        <v>826</v>
      </c>
      <c r="H111" s="11">
        <v>826</v>
      </c>
      <c r="I111" s="11"/>
      <c r="J111" s="11">
        <f t="shared" si="12"/>
        <v>826</v>
      </c>
      <c r="K111" s="11">
        <v>826</v>
      </c>
      <c r="L111" s="11"/>
      <c r="M111" s="11">
        <f t="shared" si="13"/>
        <v>826</v>
      </c>
      <c r="N111" s="11"/>
      <c r="O111" s="11">
        <f t="shared" si="11"/>
        <v>826</v>
      </c>
      <c r="P111" s="11">
        <v>826</v>
      </c>
      <c r="Q111" s="11"/>
      <c r="R111" s="11">
        <f t="shared" si="10"/>
        <v>826</v>
      </c>
      <c r="S111" s="11">
        <f t="shared" si="9"/>
        <v>0</v>
      </c>
      <c r="T111" s="37">
        <f t="shared" si="7"/>
        <v>0</v>
      </c>
      <c r="U111" s="37">
        <f t="shared" si="8"/>
        <v>0</v>
      </c>
    </row>
    <row r="112" spans="1:21" s="12" customFormat="1" ht="75" hidden="1">
      <c r="A112" s="10" t="s">
        <v>91</v>
      </c>
      <c r="B112" s="10" t="s">
        <v>90</v>
      </c>
      <c r="C112" s="11">
        <v>9789</v>
      </c>
      <c r="D112" s="11"/>
      <c r="E112" s="11">
        <f t="shared" si="14"/>
        <v>9789</v>
      </c>
      <c r="F112" s="11"/>
      <c r="G112" s="11">
        <f t="shared" si="14"/>
        <v>9789</v>
      </c>
      <c r="H112" s="11">
        <v>10668</v>
      </c>
      <c r="I112" s="11"/>
      <c r="J112" s="11">
        <f t="shared" si="12"/>
        <v>10668</v>
      </c>
      <c r="K112" s="11">
        <v>11354</v>
      </c>
      <c r="L112" s="11"/>
      <c r="M112" s="11">
        <f t="shared" si="13"/>
        <v>11354</v>
      </c>
      <c r="N112" s="11"/>
      <c r="O112" s="11">
        <f t="shared" si="11"/>
        <v>9789</v>
      </c>
      <c r="P112" s="11">
        <v>9789</v>
      </c>
      <c r="Q112" s="11"/>
      <c r="R112" s="11">
        <f t="shared" si="10"/>
        <v>9789</v>
      </c>
      <c r="S112" s="11">
        <f t="shared" si="9"/>
        <v>0</v>
      </c>
      <c r="T112" s="37">
        <f t="shared" si="7"/>
        <v>0</v>
      </c>
      <c r="U112" s="37">
        <f t="shared" si="8"/>
        <v>0</v>
      </c>
    </row>
    <row r="113" spans="1:21" s="12" customFormat="1" ht="56.25" hidden="1">
      <c r="A113" s="10" t="s">
        <v>117</v>
      </c>
      <c r="B113" s="10" t="s">
        <v>92</v>
      </c>
      <c r="C113" s="11">
        <v>137787</v>
      </c>
      <c r="D113" s="11"/>
      <c r="E113" s="11">
        <f t="shared" si="14"/>
        <v>137787</v>
      </c>
      <c r="F113" s="11"/>
      <c r="G113" s="11">
        <f t="shared" si="14"/>
        <v>137787</v>
      </c>
      <c r="H113" s="11">
        <v>144995</v>
      </c>
      <c r="I113" s="11"/>
      <c r="J113" s="11">
        <f t="shared" si="12"/>
        <v>144995</v>
      </c>
      <c r="K113" s="11">
        <v>146066</v>
      </c>
      <c r="L113" s="11"/>
      <c r="M113" s="11">
        <f t="shared" si="13"/>
        <v>146066</v>
      </c>
      <c r="N113" s="11"/>
      <c r="O113" s="11">
        <f t="shared" si="11"/>
        <v>137787</v>
      </c>
      <c r="P113" s="11">
        <v>137787</v>
      </c>
      <c r="Q113" s="11"/>
      <c r="R113" s="11">
        <f t="shared" si="10"/>
        <v>137787</v>
      </c>
      <c r="S113" s="11">
        <f t="shared" si="9"/>
        <v>0</v>
      </c>
      <c r="T113" s="37">
        <f t="shared" si="7"/>
        <v>0</v>
      </c>
      <c r="U113" s="37">
        <f t="shared" si="8"/>
        <v>0</v>
      </c>
    </row>
    <row r="114" spans="1:21" s="12" customFormat="1" ht="56.25" hidden="1">
      <c r="A114" s="10" t="s">
        <v>118</v>
      </c>
      <c r="B114" s="10" t="s">
        <v>93</v>
      </c>
      <c r="C114" s="11">
        <v>14243</v>
      </c>
      <c r="D114" s="11"/>
      <c r="E114" s="11">
        <f t="shared" si="14"/>
        <v>14243</v>
      </c>
      <c r="F114" s="11"/>
      <c r="G114" s="11">
        <f t="shared" si="14"/>
        <v>14243</v>
      </c>
      <c r="H114" s="11">
        <v>16369</v>
      </c>
      <c r="I114" s="11"/>
      <c r="J114" s="11">
        <f t="shared" si="12"/>
        <v>16369</v>
      </c>
      <c r="K114" s="11">
        <v>16369</v>
      </c>
      <c r="L114" s="11"/>
      <c r="M114" s="11">
        <f t="shared" si="13"/>
        <v>16369</v>
      </c>
      <c r="N114" s="11"/>
      <c r="O114" s="11">
        <f t="shared" si="11"/>
        <v>14243</v>
      </c>
      <c r="P114" s="11">
        <v>14243</v>
      </c>
      <c r="Q114" s="11"/>
      <c r="R114" s="11">
        <f t="shared" si="10"/>
        <v>14243</v>
      </c>
      <c r="S114" s="11">
        <f t="shared" si="9"/>
        <v>0</v>
      </c>
      <c r="T114" s="37">
        <f t="shared" si="7"/>
        <v>0</v>
      </c>
      <c r="U114" s="37">
        <f t="shared" si="8"/>
        <v>0</v>
      </c>
    </row>
    <row r="115" spans="1:21" s="12" customFormat="1" ht="75">
      <c r="A115" s="10" t="s">
        <v>135</v>
      </c>
      <c r="B115" s="10" t="s">
        <v>94</v>
      </c>
      <c r="C115" s="11">
        <v>6857</v>
      </c>
      <c r="D115" s="11"/>
      <c r="E115" s="11">
        <f t="shared" si="14"/>
        <v>6857</v>
      </c>
      <c r="F115" s="11"/>
      <c r="G115" s="11">
        <f t="shared" si="14"/>
        <v>6857</v>
      </c>
      <c r="H115" s="11">
        <v>7266</v>
      </c>
      <c r="I115" s="11"/>
      <c r="J115" s="11">
        <f t="shared" si="12"/>
        <v>7266</v>
      </c>
      <c r="K115" s="11">
        <v>7696</v>
      </c>
      <c r="L115" s="11"/>
      <c r="M115" s="11">
        <f t="shared" si="13"/>
        <v>7696</v>
      </c>
      <c r="N115" s="11"/>
      <c r="O115" s="11">
        <f t="shared" si="11"/>
        <v>6857</v>
      </c>
      <c r="P115" s="11">
        <v>6857</v>
      </c>
      <c r="Q115" s="11">
        <v>308</v>
      </c>
      <c r="R115" s="11">
        <f t="shared" si="10"/>
        <v>7165</v>
      </c>
      <c r="S115" s="11">
        <f t="shared" si="9"/>
        <v>308</v>
      </c>
      <c r="T115" s="37">
        <f aca="true" t="shared" si="15" ref="T115:T142">S115/P115</f>
        <v>0.044917602450051046</v>
      </c>
      <c r="U115" s="37">
        <f aca="true" t="shared" si="16" ref="U115:U142">S115/$S$142</f>
        <v>0.0002146001991322627</v>
      </c>
    </row>
    <row r="116" spans="1:21" s="12" customFormat="1" ht="93.75">
      <c r="A116" s="10" t="s">
        <v>162</v>
      </c>
      <c r="B116" s="10" t="s">
        <v>95</v>
      </c>
      <c r="C116" s="11">
        <v>388745</v>
      </c>
      <c r="D116" s="11"/>
      <c r="E116" s="11">
        <f t="shared" si="14"/>
        <v>388745</v>
      </c>
      <c r="F116" s="11"/>
      <c r="G116" s="11">
        <f t="shared" si="14"/>
        <v>388745</v>
      </c>
      <c r="H116" s="11">
        <v>405537</v>
      </c>
      <c r="I116" s="11"/>
      <c r="J116" s="11">
        <f t="shared" si="12"/>
        <v>405537</v>
      </c>
      <c r="K116" s="11">
        <v>414374</v>
      </c>
      <c r="L116" s="11"/>
      <c r="M116" s="11">
        <f t="shared" si="13"/>
        <v>414374</v>
      </c>
      <c r="N116" s="11">
        <v>352030</v>
      </c>
      <c r="O116" s="11">
        <f t="shared" si="11"/>
        <v>740775</v>
      </c>
      <c r="P116" s="11">
        <v>740775</v>
      </c>
      <c r="Q116" s="11">
        <v>26540</v>
      </c>
      <c r="R116" s="11">
        <f t="shared" si="10"/>
        <v>767315</v>
      </c>
      <c r="S116" s="11">
        <f t="shared" si="9"/>
        <v>26540</v>
      </c>
      <c r="T116" s="37">
        <f t="shared" si="15"/>
        <v>0.03582734298538692</v>
      </c>
      <c r="U116" s="37">
        <f t="shared" si="16"/>
        <v>0.018491848327825494</v>
      </c>
    </row>
    <row r="117" spans="1:21" s="12" customFormat="1" ht="281.25">
      <c r="A117" s="10" t="s">
        <v>123</v>
      </c>
      <c r="B117" s="10" t="s">
        <v>96</v>
      </c>
      <c r="C117" s="11">
        <v>186541</v>
      </c>
      <c r="D117" s="11"/>
      <c r="E117" s="11">
        <f t="shared" si="14"/>
        <v>186541</v>
      </c>
      <c r="F117" s="11"/>
      <c r="G117" s="11">
        <f t="shared" si="14"/>
        <v>186541</v>
      </c>
      <c r="H117" s="11">
        <v>48847</v>
      </c>
      <c r="I117" s="11"/>
      <c r="J117" s="11">
        <f t="shared" si="12"/>
        <v>48847</v>
      </c>
      <c r="K117" s="11">
        <v>51523</v>
      </c>
      <c r="L117" s="11"/>
      <c r="M117" s="11">
        <f t="shared" si="13"/>
        <v>51523</v>
      </c>
      <c r="N117" s="11"/>
      <c r="O117" s="11">
        <f t="shared" si="11"/>
        <v>186541</v>
      </c>
      <c r="P117" s="11">
        <v>186541</v>
      </c>
      <c r="Q117" s="11">
        <v>-186541</v>
      </c>
      <c r="R117" s="11">
        <f t="shared" si="10"/>
        <v>0</v>
      </c>
      <c r="S117" s="11">
        <f t="shared" si="9"/>
        <v>-186541</v>
      </c>
      <c r="T117" s="37">
        <f t="shared" si="15"/>
        <v>-1</v>
      </c>
      <c r="U117" s="37">
        <f t="shared" si="16"/>
        <v>-0.12997316800756953</v>
      </c>
    </row>
    <row r="118" spans="1:21" s="12" customFormat="1" ht="93.75" hidden="1">
      <c r="A118" s="10" t="s">
        <v>163</v>
      </c>
      <c r="B118" s="10" t="s">
        <v>97</v>
      </c>
      <c r="C118" s="11">
        <v>100</v>
      </c>
      <c r="D118" s="11"/>
      <c r="E118" s="11">
        <f t="shared" si="14"/>
        <v>100</v>
      </c>
      <c r="F118" s="11"/>
      <c r="G118" s="11">
        <f t="shared" si="14"/>
        <v>100</v>
      </c>
      <c r="H118" s="11">
        <v>100</v>
      </c>
      <c r="I118" s="11"/>
      <c r="J118" s="11">
        <f t="shared" si="12"/>
        <v>100</v>
      </c>
      <c r="K118" s="11">
        <v>106</v>
      </c>
      <c r="L118" s="11"/>
      <c r="M118" s="11">
        <f t="shared" si="13"/>
        <v>106</v>
      </c>
      <c r="N118" s="11"/>
      <c r="O118" s="11">
        <f t="shared" si="11"/>
        <v>100</v>
      </c>
      <c r="P118" s="11">
        <v>100</v>
      </c>
      <c r="Q118" s="11"/>
      <c r="R118" s="11">
        <f t="shared" si="10"/>
        <v>100</v>
      </c>
      <c r="S118" s="11">
        <f t="shared" si="9"/>
        <v>0</v>
      </c>
      <c r="T118" s="37">
        <f t="shared" si="15"/>
        <v>0</v>
      </c>
      <c r="U118" s="37">
        <f t="shared" si="16"/>
        <v>0</v>
      </c>
    </row>
    <row r="119" spans="1:21" s="12" customFormat="1" ht="112.5" hidden="1">
      <c r="A119" s="10" t="s">
        <v>164</v>
      </c>
      <c r="B119" s="10" t="s">
        <v>98</v>
      </c>
      <c r="C119" s="11">
        <v>5523</v>
      </c>
      <c r="D119" s="11"/>
      <c r="E119" s="11">
        <f t="shared" si="14"/>
        <v>5523</v>
      </c>
      <c r="F119" s="11"/>
      <c r="G119" s="11">
        <f t="shared" si="14"/>
        <v>5523</v>
      </c>
      <c r="H119" s="11">
        <v>6123</v>
      </c>
      <c r="I119" s="11"/>
      <c r="J119" s="11">
        <f t="shared" si="12"/>
        <v>6123</v>
      </c>
      <c r="K119" s="11">
        <v>6706</v>
      </c>
      <c r="L119" s="11"/>
      <c r="M119" s="11">
        <f t="shared" si="13"/>
        <v>6706</v>
      </c>
      <c r="N119" s="11"/>
      <c r="O119" s="11">
        <f t="shared" si="11"/>
        <v>5523</v>
      </c>
      <c r="P119" s="11">
        <v>5523</v>
      </c>
      <c r="Q119" s="11"/>
      <c r="R119" s="11">
        <f t="shared" si="10"/>
        <v>5523</v>
      </c>
      <c r="S119" s="11">
        <f t="shared" si="9"/>
        <v>0</v>
      </c>
      <c r="T119" s="37">
        <f t="shared" si="15"/>
        <v>0</v>
      </c>
      <c r="U119" s="37">
        <f t="shared" si="16"/>
        <v>0</v>
      </c>
    </row>
    <row r="120" spans="1:21" s="12" customFormat="1" ht="131.25">
      <c r="A120" s="10" t="s">
        <v>136</v>
      </c>
      <c r="B120" s="10" t="s">
        <v>111</v>
      </c>
      <c r="C120" s="11">
        <v>12497</v>
      </c>
      <c r="D120" s="11"/>
      <c r="E120" s="11">
        <f t="shared" si="14"/>
        <v>12497</v>
      </c>
      <c r="F120" s="11"/>
      <c r="G120" s="11">
        <f t="shared" si="14"/>
        <v>12497</v>
      </c>
      <c r="H120" s="20">
        <v>13373</v>
      </c>
      <c r="I120" s="20"/>
      <c r="J120" s="20">
        <f t="shared" si="12"/>
        <v>13373</v>
      </c>
      <c r="K120" s="20">
        <v>14283</v>
      </c>
      <c r="L120" s="20"/>
      <c r="M120" s="20">
        <f t="shared" si="13"/>
        <v>14283</v>
      </c>
      <c r="N120" s="11"/>
      <c r="O120" s="11">
        <f t="shared" si="11"/>
        <v>12497</v>
      </c>
      <c r="P120" s="11">
        <v>12497</v>
      </c>
      <c r="Q120" s="11">
        <v>100</v>
      </c>
      <c r="R120" s="11">
        <f t="shared" si="10"/>
        <v>12597</v>
      </c>
      <c r="S120" s="11">
        <f t="shared" si="9"/>
        <v>100</v>
      </c>
      <c r="T120" s="37">
        <f t="shared" si="15"/>
        <v>0.008001920460910618</v>
      </c>
      <c r="U120" s="37">
        <f t="shared" si="16"/>
        <v>6.967538932865672E-05</v>
      </c>
    </row>
    <row r="121" spans="1:21" s="12" customFormat="1" ht="75" hidden="1">
      <c r="A121" s="10" t="s">
        <v>181</v>
      </c>
      <c r="B121" s="10" t="s">
        <v>167</v>
      </c>
      <c r="C121" s="11">
        <v>1580</v>
      </c>
      <c r="D121" s="11">
        <v>568</v>
      </c>
      <c r="E121" s="11">
        <f t="shared" si="14"/>
        <v>2148</v>
      </c>
      <c r="F121" s="11"/>
      <c r="G121" s="11">
        <f t="shared" si="14"/>
        <v>2148</v>
      </c>
      <c r="H121" s="11">
        <v>1718</v>
      </c>
      <c r="I121" s="11"/>
      <c r="J121" s="11">
        <f t="shared" si="12"/>
        <v>1718</v>
      </c>
      <c r="K121" s="11">
        <v>1818</v>
      </c>
      <c r="L121" s="11"/>
      <c r="M121" s="11">
        <f t="shared" si="13"/>
        <v>1818</v>
      </c>
      <c r="N121" s="11"/>
      <c r="O121" s="11">
        <f t="shared" si="11"/>
        <v>2148</v>
      </c>
      <c r="P121" s="11">
        <v>2148</v>
      </c>
      <c r="Q121" s="11"/>
      <c r="R121" s="11">
        <f t="shared" si="10"/>
        <v>2148</v>
      </c>
      <c r="S121" s="11">
        <f t="shared" si="9"/>
        <v>0</v>
      </c>
      <c r="T121" s="37">
        <f t="shared" si="15"/>
        <v>0</v>
      </c>
      <c r="U121" s="37">
        <f t="shared" si="16"/>
        <v>0</v>
      </c>
    </row>
    <row r="122" spans="1:21" s="12" customFormat="1" ht="150" hidden="1">
      <c r="A122" s="10" t="s">
        <v>232</v>
      </c>
      <c r="B122" s="10" t="s">
        <v>233</v>
      </c>
      <c r="C122" s="11"/>
      <c r="D122" s="11"/>
      <c r="E122" s="11"/>
      <c r="F122" s="11">
        <v>5533</v>
      </c>
      <c r="G122" s="11">
        <f t="shared" si="14"/>
        <v>5533</v>
      </c>
      <c r="H122" s="11"/>
      <c r="I122" s="11"/>
      <c r="J122" s="11"/>
      <c r="K122" s="11"/>
      <c r="L122" s="11"/>
      <c r="M122" s="11"/>
      <c r="N122" s="11"/>
      <c r="O122" s="11">
        <f t="shared" si="11"/>
        <v>5533</v>
      </c>
      <c r="P122" s="11">
        <v>5533</v>
      </c>
      <c r="Q122" s="11"/>
      <c r="R122" s="11">
        <f t="shared" si="10"/>
        <v>5533</v>
      </c>
      <c r="S122" s="11">
        <f t="shared" si="9"/>
        <v>0</v>
      </c>
      <c r="T122" s="37">
        <f t="shared" si="15"/>
        <v>0</v>
      </c>
      <c r="U122" s="37">
        <f t="shared" si="16"/>
        <v>0</v>
      </c>
    </row>
    <row r="123" spans="1:21" s="12" customFormat="1" ht="75">
      <c r="A123" s="10" t="s">
        <v>214</v>
      </c>
      <c r="B123" s="10" t="s">
        <v>215</v>
      </c>
      <c r="C123" s="11"/>
      <c r="D123" s="11">
        <v>33649</v>
      </c>
      <c r="E123" s="11">
        <f t="shared" si="14"/>
        <v>33649</v>
      </c>
      <c r="F123" s="11"/>
      <c r="G123" s="11">
        <f t="shared" si="14"/>
        <v>33649</v>
      </c>
      <c r="H123" s="11"/>
      <c r="I123" s="11"/>
      <c r="J123" s="11"/>
      <c r="K123" s="11"/>
      <c r="L123" s="11"/>
      <c r="M123" s="11"/>
      <c r="N123" s="11"/>
      <c r="O123" s="11">
        <f t="shared" si="11"/>
        <v>33649</v>
      </c>
      <c r="P123" s="11">
        <v>33649</v>
      </c>
      <c r="Q123" s="11">
        <v>-33649</v>
      </c>
      <c r="R123" s="11">
        <f t="shared" si="10"/>
        <v>0</v>
      </c>
      <c r="S123" s="11">
        <f t="shared" si="9"/>
        <v>-33649</v>
      </c>
      <c r="T123" s="37">
        <f t="shared" si="15"/>
        <v>-1</v>
      </c>
      <c r="U123" s="37">
        <f t="shared" si="16"/>
        <v>-0.0234450717551997</v>
      </c>
    </row>
    <row r="124" spans="1:21" s="12" customFormat="1" ht="150">
      <c r="A124" s="10" t="s">
        <v>204</v>
      </c>
      <c r="B124" s="10" t="s">
        <v>205</v>
      </c>
      <c r="C124" s="11"/>
      <c r="D124" s="11">
        <v>185825</v>
      </c>
      <c r="E124" s="11">
        <f t="shared" si="14"/>
        <v>185825</v>
      </c>
      <c r="F124" s="11"/>
      <c r="G124" s="11">
        <f t="shared" si="14"/>
        <v>185825</v>
      </c>
      <c r="H124" s="11"/>
      <c r="I124" s="11"/>
      <c r="J124" s="11"/>
      <c r="K124" s="11"/>
      <c r="L124" s="11"/>
      <c r="M124" s="11"/>
      <c r="N124" s="11"/>
      <c r="O124" s="11">
        <f t="shared" si="11"/>
        <v>185825</v>
      </c>
      <c r="P124" s="11">
        <v>185825</v>
      </c>
      <c r="Q124" s="11">
        <v>27111</v>
      </c>
      <c r="R124" s="11">
        <f t="shared" si="10"/>
        <v>212936</v>
      </c>
      <c r="S124" s="11">
        <f t="shared" si="9"/>
        <v>27111</v>
      </c>
      <c r="T124" s="37">
        <f t="shared" si="15"/>
        <v>0.14589533162922105</v>
      </c>
      <c r="U124" s="37">
        <f t="shared" si="16"/>
        <v>0.018889694800892122</v>
      </c>
    </row>
    <row r="125" spans="1:21" s="12" customFormat="1" ht="168.75">
      <c r="A125" s="10" t="s">
        <v>284</v>
      </c>
      <c r="B125" s="10" t="s">
        <v>288</v>
      </c>
      <c r="C125" s="11"/>
      <c r="D125" s="11"/>
      <c r="E125" s="11"/>
      <c r="F125" s="11"/>
      <c r="G125" s="11"/>
      <c r="H125" s="20"/>
      <c r="I125" s="20"/>
      <c r="J125" s="20"/>
      <c r="K125" s="20"/>
      <c r="L125" s="20"/>
      <c r="M125" s="20"/>
      <c r="N125" s="11"/>
      <c r="O125" s="11"/>
      <c r="P125" s="11"/>
      <c r="Q125" s="11">
        <v>384678</v>
      </c>
      <c r="R125" s="11">
        <f t="shared" si="10"/>
        <v>384678</v>
      </c>
      <c r="S125" s="11">
        <f t="shared" si="9"/>
        <v>384678</v>
      </c>
      <c r="T125" s="37" t="e">
        <f t="shared" si="15"/>
        <v>#DIV/0!</v>
      </c>
      <c r="U125" s="37">
        <f t="shared" si="16"/>
        <v>0.2680258941616901</v>
      </c>
    </row>
    <row r="126" spans="1:21" s="12" customFormat="1" ht="131.25">
      <c r="A126" s="10" t="s">
        <v>285</v>
      </c>
      <c r="B126" s="10" t="s">
        <v>292</v>
      </c>
      <c r="C126" s="11"/>
      <c r="D126" s="11"/>
      <c r="E126" s="11"/>
      <c r="F126" s="11"/>
      <c r="G126" s="11"/>
      <c r="H126" s="20"/>
      <c r="I126" s="20"/>
      <c r="J126" s="20"/>
      <c r="K126" s="20"/>
      <c r="L126" s="20"/>
      <c r="M126" s="20"/>
      <c r="N126" s="11"/>
      <c r="O126" s="11"/>
      <c r="P126" s="11"/>
      <c r="Q126" s="11">
        <v>31713</v>
      </c>
      <c r="R126" s="11">
        <f t="shared" si="10"/>
        <v>31713</v>
      </c>
      <c r="S126" s="11">
        <f t="shared" si="9"/>
        <v>31713</v>
      </c>
      <c r="T126" s="37" t="e">
        <f t="shared" si="15"/>
        <v>#DIV/0!</v>
      </c>
      <c r="U126" s="37">
        <f t="shared" si="16"/>
        <v>0.022096156217796908</v>
      </c>
    </row>
    <row r="127" spans="1:21" s="12" customFormat="1" ht="18.75">
      <c r="A127" s="23" t="s">
        <v>100</v>
      </c>
      <c r="B127" s="23" t="s">
        <v>99</v>
      </c>
      <c r="C127" s="7">
        <v>242076</v>
      </c>
      <c r="D127" s="7" t="e">
        <f>D128+D129+#REF!+D130+D131+D132+D133</f>
        <v>#REF!</v>
      </c>
      <c r="E127" s="7" t="e">
        <f t="shared" si="14"/>
        <v>#REF!</v>
      </c>
      <c r="F127" s="7" t="e">
        <f>F128+F129+#REF!+F130+F131+F132+F133</f>
        <v>#REF!</v>
      </c>
      <c r="G127" s="7" t="e">
        <f t="shared" si="14"/>
        <v>#REF!</v>
      </c>
      <c r="H127" s="7" t="e">
        <f>H128+H129+#REF!+H130+H131</f>
        <v>#REF!</v>
      </c>
      <c r="I127" s="7">
        <v>0</v>
      </c>
      <c r="J127" s="7" t="e">
        <f t="shared" si="12"/>
        <v>#REF!</v>
      </c>
      <c r="K127" s="7">
        <v>190417</v>
      </c>
      <c r="L127" s="7">
        <v>0</v>
      </c>
      <c r="M127" s="7">
        <f t="shared" si="13"/>
        <v>190417</v>
      </c>
      <c r="N127" s="7" t="e">
        <f>N128+N129+#REF!+N130+N131+N132+N133</f>
        <v>#REF!</v>
      </c>
      <c r="O127" s="7" t="e">
        <f t="shared" si="11"/>
        <v>#REF!</v>
      </c>
      <c r="P127" s="7">
        <v>383533</v>
      </c>
      <c r="Q127" s="7">
        <f>SUM(Q128:Q133)</f>
        <v>-18993</v>
      </c>
      <c r="R127" s="7">
        <f t="shared" si="10"/>
        <v>364540</v>
      </c>
      <c r="S127" s="7">
        <f t="shared" si="9"/>
        <v>-18993</v>
      </c>
      <c r="T127" s="35">
        <f t="shared" si="15"/>
        <v>-0.049521162455381934</v>
      </c>
      <c r="U127" s="35">
        <f t="shared" si="16"/>
        <v>-0.013233446695191772</v>
      </c>
    </row>
    <row r="128" spans="1:21" s="12" customFormat="1" ht="93.75">
      <c r="A128" s="10" t="s">
        <v>165</v>
      </c>
      <c r="B128" s="10" t="s">
        <v>147</v>
      </c>
      <c r="C128" s="14">
        <v>3127</v>
      </c>
      <c r="D128" s="14"/>
      <c r="E128" s="14">
        <f t="shared" si="14"/>
        <v>3127</v>
      </c>
      <c r="F128" s="14"/>
      <c r="G128" s="14">
        <f t="shared" si="14"/>
        <v>3127</v>
      </c>
      <c r="H128" s="14">
        <v>3179</v>
      </c>
      <c r="I128" s="14"/>
      <c r="J128" s="14">
        <f t="shared" si="12"/>
        <v>3179</v>
      </c>
      <c r="K128" s="14">
        <v>3221</v>
      </c>
      <c r="L128" s="14"/>
      <c r="M128" s="14">
        <f t="shared" si="13"/>
        <v>3221</v>
      </c>
      <c r="N128" s="14"/>
      <c r="O128" s="14">
        <f t="shared" si="11"/>
        <v>3127</v>
      </c>
      <c r="P128" s="14">
        <v>3127</v>
      </c>
      <c r="Q128" s="14">
        <v>2146</v>
      </c>
      <c r="R128" s="14">
        <f t="shared" si="10"/>
        <v>5273</v>
      </c>
      <c r="S128" s="14">
        <f t="shared" si="9"/>
        <v>2146</v>
      </c>
      <c r="T128" s="39">
        <f t="shared" si="15"/>
        <v>0.6862807803006076</v>
      </c>
      <c r="U128" s="39">
        <f t="shared" si="16"/>
        <v>0.0014952338549929732</v>
      </c>
    </row>
    <row r="129" spans="1:21" s="12" customFormat="1" ht="75">
      <c r="A129" s="10" t="s">
        <v>166</v>
      </c>
      <c r="B129" s="10" t="s">
        <v>148</v>
      </c>
      <c r="C129" s="14">
        <v>964</v>
      </c>
      <c r="D129" s="14"/>
      <c r="E129" s="14">
        <f t="shared" si="14"/>
        <v>964</v>
      </c>
      <c r="F129" s="14"/>
      <c r="G129" s="14">
        <f t="shared" si="14"/>
        <v>964</v>
      </c>
      <c r="H129" s="14">
        <v>972</v>
      </c>
      <c r="I129" s="14"/>
      <c r="J129" s="14">
        <f t="shared" si="12"/>
        <v>972</v>
      </c>
      <c r="K129" s="14">
        <v>981</v>
      </c>
      <c r="L129" s="14"/>
      <c r="M129" s="14">
        <f t="shared" si="13"/>
        <v>981</v>
      </c>
      <c r="N129" s="14"/>
      <c r="O129" s="14">
        <f t="shared" si="11"/>
        <v>964</v>
      </c>
      <c r="P129" s="14">
        <v>964</v>
      </c>
      <c r="Q129" s="14">
        <v>148</v>
      </c>
      <c r="R129" s="14">
        <f t="shared" si="10"/>
        <v>1112</v>
      </c>
      <c r="S129" s="14">
        <f t="shared" si="9"/>
        <v>148</v>
      </c>
      <c r="T129" s="39">
        <f t="shared" si="15"/>
        <v>0.15352697095435686</v>
      </c>
      <c r="U129" s="39">
        <f t="shared" si="16"/>
        <v>0.00010311957620641194</v>
      </c>
    </row>
    <row r="130" spans="1:21" s="12" customFormat="1" ht="168.75" hidden="1">
      <c r="A130" s="10" t="s">
        <v>64</v>
      </c>
      <c r="B130" s="10" t="s">
        <v>149</v>
      </c>
      <c r="C130" s="11">
        <v>188307</v>
      </c>
      <c r="D130" s="11"/>
      <c r="E130" s="11">
        <f t="shared" si="14"/>
        <v>188307</v>
      </c>
      <c r="F130" s="11"/>
      <c r="G130" s="11">
        <f t="shared" si="14"/>
        <v>188307</v>
      </c>
      <c r="H130" s="11">
        <v>214551</v>
      </c>
      <c r="I130" s="11"/>
      <c r="J130" s="11">
        <f t="shared" si="12"/>
        <v>214551</v>
      </c>
      <c r="K130" s="11">
        <v>186215</v>
      </c>
      <c r="L130" s="11"/>
      <c r="M130" s="11">
        <f t="shared" si="13"/>
        <v>186215</v>
      </c>
      <c r="N130" s="11"/>
      <c r="O130" s="11">
        <f t="shared" si="11"/>
        <v>188307</v>
      </c>
      <c r="P130" s="11">
        <v>188307</v>
      </c>
      <c r="Q130" s="11"/>
      <c r="R130" s="11">
        <f t="shared" si="10"/>
        <v>188307</v>
      </c>
      <c r="S130" s="11">
        <f t="shared" si="9"/>
        <v>0</v>
      </c>
      <c r="T130" s="37">
        <f t="shared" si="15"/>
        <v>0</v>
      </c>
      <c r="U130" s="37">
        <f t="shared" si="16"/>
        <v>0</v>
      </c>
    </row>
    <row r="131" spans="1:21" s="12" customFormat="1" ht="187.5">
      <c r="A131" s="10" t="s">
        <v>289</v>
      </c>
      <c r="B131" s="10" t="s">
        <v>171</v>
      </c>
      <c r="C131" s="11">
        <v>49678</v>
      </c>
      <c r="D131" s="11"/>
      <c r="E131" s="11">
        <f t="shared" si="14"/>
        <v>49678</v>
      </c>
      <c r="F131" s="11"/>
      <c r="G131" s="11">
        <f t="shared" si="14"/>
        <v>49678</v>
      </c>
      <c r="H131" s="20">
        <v>52907</v>
      </c>
      <c r="I131" s="20"/>
      <c r="J131" s="20">
        <f t="shared" si="12"/>
        <v>52907</v>
      </c>
      <c r="K131" s="20"/>
      <c r="L131" s="20"/>
      <c r="M131" s="20">
        <f t="shared" si="13"/>
        <v>0</v>
      </c>
      <c r="N131" s="11"/>
      <c r="O131" s="11">
        <f t="shared" si="11"/>
        <v>49678</v>
      </c>
      <c r="P131" s="11">
        <v>49678</v>
      </c>
      <c r="Q131" s="11">
        <v>-24839</v>
      </c>
      <c r="R131" s="11">
        <f t="shared" si="10"/>
        <v>24839</v>
      </c>
      <c r="S131" s="11">
        <f t="shared" si="9"/>
        <v>-24839</v>
      </c>
      <c r="T131" s="37">
        <f t="shared" si="15"/>
        <v>-0.5</v>
      </c>
      <c r="U131" s="37">
        <f t="shared" si="16"/>
        <v>-0.017306669955345043</v>
      </c>
    </row>
    <row r="132" spans="1:21" s="12" customFormat="1" ht="93.75" hidden="1">
      <c r="A132" s="10" t="s">
        <v>207</v>
      </c>
      <c r="B132" s="10" t="s">
        <v>206</v>
      </c>
      <c r="C132" s="11"/>
      <c r="D132" s="11">
        <v>80049</v>
      </c>
      <c r="E132" s="11">
        <f t="shared" si="14"/>
        <v>80049</v>
      </c>
      <c r="F132" s="11"/>
      <c r="G132" s="11">
        <f t="shared" si="14"/>
        <v>80049</v>
      </c>
      <c r="H132" s="20"/>
      <c r="I132" s="20"/>
      <c r="J132" s="20"/>
      <c r="K132" s="20"/>
      <c r="L132" s="20"/>
      <c r="M132" s="20"/>
      <c r="N132" s="11"/>
      <c r="O132" s="11">
        <f t="shared" si="11"/>
        <v>80049</v>
      </c>
      <c r="P132" s="11">
        <v>80049</v>
      </c>
      <c r="Q132" s="11"/>
      <c r="R132" s="11">
        <f t="shared" si="10"/>
        <v>80049</v>
      </c>
      <c r="S132" s="11">
        <f t="shared" si="9"/>
        <v>0</v>
      </c>
      <c r="T132" s="37">
        <f t="shared" si="15"/>
        <v>0</v>
      </c>
      <c r="U132" s="37">
        <f t="shared" si="16"/>
        <v>0</v>
      </c>
    </row>
    <row r="133" spans="1:21" s="12" customFormat="1" ht="112.5">
      <c r="A133" s="10" t="s">
        <v>208</v>
      </c>
      <c r="B133" s="10" t="s">
        <v>226</v>
      </c>
      <c r="C133" s="11"/>
      <c r="D133" s="11">
        <v>31973</v>
      </c>
      <c r="E133" s="11">
        <f t="shared" si="14"/>
        <v>31973</v>
      </c>
      <c r="F133" s="11">
        <v>29435</v>
      </c>
      <c r="G133" s="11">
        <f t="shared" si="14"/>
        <v>61408</v>
      </c>
      <c r="H133" s="20"/>
      <c r="I133" s="20"/>
      <c r="J133" s="20"/>
      <c r="K133" s="20"/>
      <c r="L133" s="20"/>
      <c r="M133" s="20"/>
      <c r="N133" s="11"/>
      <c r="O133" s="11">
        <f t="shared" si="11"/>
        <v>61408</v>
      </c>
      <c r="P133" s="11">
        <v>61408</v>
      </c>
      <c r="Q133" s="11">
        <v>3552</v>
      </c>
      <c r="R133" s="11">
        <f t="shared" si="10"/>
        <v>64960</v>
      </c>
      <c r="S133" s="11">
        <f t="shared" si="9"/>
        <v>3552</v>
      </c>
      <c r="T133" s="37">
        <f t="shared" si="15"/>
        <v>0.05784262636789995</v>
      </c>
      <c r="U133" s="37">
        <f t="shared" si="16"/>
        <v>0.0024748698289538866</v>
      </c>
    </row>
    <row r="134" spans="1:21" s="12" customFormat="1" ht="37.5" hidden="1">
      <c r="A134" s="6" t="s">
        <v>210</v>
      </c>
      <c r="B134" s="23" t="s">
        <v>209</v>
      </c>
      <c r="C134" s="7">
        <f>C135</f>
        <v>0</v>
      </c>
      <c r="D134" s="7">
        <f>D135</f>
        <v>34</v>
      </c>
      <c r="E134" s="7">
        <f>E135</f>
        <v>34</v>
      </c>
      <c r="F134" s="7">
        <f>F135</f>
        <v>11576</v>
      </c>
      <c r="G134" s="7">
        <f>G135</f>
        <v>11610</v>
      </c>
      <c r="H134" s="20"/>
      <c r="I134" s="20"/>
      <c r="J134" s="20"/>
      <c r="K134" s="20"/>
      <c r="L134" s="20"/>
      <c r="M134" s="20"/>
      <c r="N134" s="7">
        <f>N135</f>
        <v>0</v>
      </c>
      <c r="O134" s="7">
        <f t="shared" si="11"/>
        <v>11610</v>
      </c>
      <c r="P134" s="7">
        <v>11610</v>
      </c>
      <c r="Q134" s="7">
        <f>Q135</f>
        <v>0</v>
      </c>
      <c r="R134" s="7">
        <f t="shared" si="10"/>
        <v>11610</v>
      </c>
      <c r="S134" s="7">
        <f t="shared" si="9"/>
        <v>0</v>
      </c>
      <c r="T134" s="35">
        <f t="shared" si="15"/>
        <v>0</v>
      </c>
      <c r="U134" s="35">
        <f t="shared" si="16"/>
        <v>0</v>
      </c>
    </row>
    <row r="135" spans="1:21" s="12" customFormat="1" ht="75" hidden="1">
      <c r="A135" s="10" t="s">
        <v>211</v>
      </c>
      <c r="B135" s="10" t="s">
        <v>212</v>
      </c>
      <c r="C135" s="11"/>
      <c r="D135" s="11">
        <v>34</v>
      </c>
      <c r="E135" s="11">
        <f t="shared" si="14"/>
        <v>34</v>
      </c>
      <c r="F135" s="11">
        <v>11576</v>
      </c>
      <c r="G135" s="11">
        <f t="shared" si="14"/>
        <v>11610</v>
      </c>
      <c r="H135" s="20"/>
      <c r="I135" s="20"/>
      <c r="J135" s="20"/>
      <c r="K135" s="20"/>
      <c r="L135" s="20"/>
      <c r="M135" s="20"/>
      <c r="N135" s="11"/>
      <c r="O135" s="11">
        <f t="shared" si="11"/>
        <v>11610</v>
      </c>
      <c r="P135" s="11">
        <v>11610</v>
      </c>
      <c r="Q135" s="11"/>
      <c r="R135" s="11">
        <f t="shared" si="10"/>
        <v>11610</v>
      </c>
      <c r="S135" s="11">
        <f t="shared" si="9"/>
        <v>0</v>
      </c>
      <c r="T135" s="37">
        <f t="shared" si="15"/>
        <v>0</v>
      </c>
      <c r="U135" s="37">
        <f t="shared" si="16"/>
        <v>0</v>
      </c>
    </row>
    <row r="136" spans="1:21" s="12" customFormat="1" ht="112.5" hidden="1">
      <c r="A136" s="6" t="s">
        <v>175</v>
      </c>
      <c r="B136" s="23" t="s">
        <v>176</v>
      </c>
      <c r="C136" s="7">
        <v>974420</v>
      </c>
      <c r="D136" s="7">
        <f>D137+D138+D139</f>
        <v>771926</v>
      </c>
      <c r="E136" s="7">
        <f t="shared" si="14"/>
        <v>1746346</v>
      </c>
      <c r="F136" s="7">
        <f>F137+F138+F139</f>
        <v>0</v>
      </c>
      <c r="G136" s="7">
        <f t="shared" si="14"/>
        <v>1746346</v>
      </c>
      <c r="H136" s="7">
        <v>748215</v>
      </c>
      <c r="I136" s="7">
        <v>0</v>
      </c>
      <c r="J136" s="7">
        <f t="shared" si="12"/>
        <v>748215</v>
      </c>
      <c r="K136" s="7">
        <v>598314</v>
      </c>
      <c r="L136" s="7">
        <v>0</v>
      </c>
      <c r="M136" s="7">
        <f t="shared" si="13"/>
        <v>598314</v>
      </c>
      <c r="N136" s="7">
        <f>N137+N138+N139</f>
        <v>0</v>
      </c>
      <c r="O136" s="7">
        <f t="shared" si="11"/>
        <v>1746346</v>
      </c>
      <c r="P136" s="7">
        <v>1746346</v>
      </c>
      <c r="Q136" s="7">
        <f>Q137+Q138+Q139</f>
        <v>0</v>
      </c>
      <c r="R136" s="7">
        <f t="shared" si="10"/>
        <v>1746346</v>
      </c>
      <c r="S136" s="7">
        <f t="shared" si="9"/>
        <v>0</v>
      </c>
      <c r="T136" s="35">
        <f t="shared" si="15"/>
        <v>0</v>
      </c>
      <c r="U136" s="35">
        <f t="shared" si="16"/>
        <v>0</v>
      </c>
    </row>
    <row r="137" spans="1:21" s="12" customFormat="1" ht="131.25" hidden="1">
      <c r="A137" s="10" t="s">
        <v>124</v>
      </c>
      <c r="B137" s="10" t="s">
        <v>168</v>
      </c>
      <c r="C137" s="11">
        <v>368345</v>
      </c>
      <c r="D137" s="11">
        <v>601975</v>
      </c>
      <c r="E137" s="11">
        <f t="shared" si="14"/>
        <v>970320</v>
      </c>
      <c r="F137" s="11"/>
      <c r="G137" s="11">
        <f t="shared" si="14"/>
        <v>970320</v>
      </c>
      <c r="H137" s="11">
        <v>298315</v>
      </c>
      <c r="I137" s="11"/>
      <c r="J137" s="11">
        <f t="shared" si="12"/>
        <v>298315</v>
      </c>
      <c r="K137" s="11">
        <v>298314</v>
      </c>
      <c r="L137" s="11"/>
      <c r="M137" s="11">
        <f t="shared" si="13"/>
        <v>298314</v>
      </c>
      <c r="N137" s="11"/>
      <c r="O137" s="11">
        <f t="shared" si="11"/>
        <v>970320</v>
      </c>
      <c r="P137" s="11">
        <v>970320</v>
      </c>
      <c r="Q137" s="11"/>
      <c r="R137" s="11">
        <f t="shared" si="10"/>
        <v>970320</v>
      </c>
      <c r="S137" s="11">
        <f aca="true" t="shared" si="17" ref="S137:S142">R137-P137</f>
        <v>0</v>
      </c>
      <c r="T137" s="37">
        <f t="shared" si="15"/>
        <v>0</v>
      </c>
      <c r="U137" s="37">
        <f t="shared" si="16"/>
        <v>0</v>
      </c>
    </row>
    <row r="138" spans="1:21" s="12" customFormat="1" ht="131.25" hidden="1">
      <c r="A138" s="10" t="s">
        <v>125</v>
      </c>
      <c r="B138" s="10" t="s">
        <v>182</v>
      </c>
      <c r="C138" s="11">
        <v>221500</v>
      </c>
      <c r="D138" s="11">
        <v>169951</v>
      </c>
      <c r="E138" s="11">
        <f t="shared" si="14"/>
        <v>391451</v>
      </c>
      <c r="F138" s="11"/>
      <c r="G138" s="11">
        <f t="shared" si="14"/>
        <v>391451</v>
      </c>
      <c r="H138" s="11">
        <v>449900</v>
      </c>
      <c r="I138" s="11"/>
      <c r="J138" s="11">
        <f t="shared" si="12"/>
        <v>449900</v>
      </c>
      <c r="K138" s="11">
        <v>300000</v>
      </c>
      <c r="L138" s="11"/>
      <c r="M138" s="11">
        <f t="shared" si="13"/>
        <v>300000</v>
      </c>
      <c r="N138" s="11"/>
      <c r="O138" s="11">
        <f t="shared" si="11"/>
        <v>391451</v>
      </c>
      <c r="P138" s="11">
        <v>391451</v>
      </c>
      <c r="Q138" s="11"/>
      <c r="R138" s="11">
        <f t="shared" si="10"/>
        <v>391451</v>
      </c>
      <c r="S138" s="11">
        <f t="shared" si="17"/>
        <v>0</v>
      </c>
      <c r="T138" s="37">
        <f t="shared" si="15"/>
        <v>0</v>
      </c>
      <c r="U138" s="37">
        <f t="shared" si="16"/>
        <v>0</v>
      </c>
    </row>
    <row r="139" spans="1:21" s="12" customFormat="1" ht="168.75" hidden="1">
      <c r="A139" s="10" t="s">
        <v>188</v>
      </c>
      <c r="B139" s="10" t="s">
        <v>227</v>
      </c>
      <c r="C139" s="11">
        <v>384575</v>
      </c>
      <c r="D139" s="11"/>
      <c r="E139" s="11">
        <f t="shared" si="14"/>
        <v>384575</v>
      </c>
      <c r="F139" s="11"/>
      <c r="G139" s="11">
        <f t="shared" si="14"/>
        <v>384575</v>
      </c>
      <c r="H139" s="11"/>
      <c r="I139" s="11"/>
      <c r="J139" s="11">
        <f t="shared" si="12"/>
        <v>0</v>
      </c>
      <c r="K139" s="11"/>
      <c r="L139" s="11"/>
      <c r="M139" s="11">
        <f t="shared" si="13"/>
        <v>0</v>
      </c>
      <c r="N139" s="11"/>
      <c r="O139" s="11">
        <f t="shared" si="11"/>
        <v>384575</v>
      </c>
      <c r="P139" s="11">
        <v>384575</v>
      </c>
      <c r="Q139" s="11"/>
      <c r="R139" s="11">
        <f t="shared" si="10"/>
        <v>384575</v>
      </c>
      <c r="S139" s="11">
        <f t="shared" si="17"/>
        <v>0</v>
      </c>
      <c r="T139" s="37">
        <f t="shared" si="15"/>
        <v>0</v>
      </c>
      <c r="U139" s="37">
        <f t="shared" si="16"/>
        <v>0</v>
      </c>
    </row>
    <row r="140" spans="1:21" s="12" customFormat="1" ht="18.75">
      <c r="A140" s="29" t="s">
        <v>138</v>
      </c>
      <c r="B140" s="30"/>
      <c r="C140" s="24">
        <v>38314902</v>
      </c>
      <c r="D140" s="24" t="e">
        <f>SUM(D8,D50)</f>
        <v>#REF!</v>
      </c>
      <c r="E140" s="24" t="e">
        <f t="shared" si="14"/>
        <v>#REF!</v>
      </c>
      <c r="F140" s="24" t="e">
        <f>SUM(F8,F50)</f>
        <v>#REF!</v>
      </c>
      <c r="G140" s="24" t="e">
        <f t="shared" si="14"/>
        <v>#REF!</v>
      </c>
      <c r="H140" s="24">
        <v>41402755</v>
      </c>
      <c r="I140" s="24">
        <v>0</v>
      </c>
      <c r="J140" s="24">
        <f t="shared" si="12"/>
        <v>41402755</v>
      </c>
      <c r="K140" s="24">
        <v>39960009</v>
      </c>
      <c r="L140" s="24">
        <v>0</v>
      </c>
      <c r="M140" s="24">
        <f t="shared" si="13"/>
        <v>39960009</v>
      </c>
      <c r="N140" s="24" t="e">
        <f>SUM(N8,N50)</f>
        <v>#REF!</v>
      </c>
      <c r="O140" s="24" t="e">
        <f t="shared" si="11"/>
        <v>#REF!</v>
      </c>
      <c r="P140" s="24">
        <v>38041450</v>
      </c>
      <c r="Q140" s="24">
        <f>SUM(Q8,Q50)</f>
        <v>1422287</v>
      </c>
      <c r="R140" s="24">
        <f t="shared" si="10"/>
        <v>39463737</v>
      </c>
      <c r="S140" s="24">
        <f t="shared" si="17"/>
        <v>1422287</v>
      </c>
      <c r="T140" s="43">
        <f t="shared" si="15"/>
        <v>0.037387823019364406</v>
      </c>
      <c r="U140" s="43">
        <f t="shared" si="16"/>
        <v>0.9909840046208718</v>
      </c>
    </row>
    <row r="141" spans="1:21" ht="37.5">
      <c r="A141" s="23" t="s">
        <v>101</v>
      </c>
      <c r="B141" s="23" t="s">
        <v>66</v>
      </c>
      <c r="C141" s="25">
        <v>825203</v>
      </c>
      <c r="D141" s="25">
        <v>29475</v>
      </c>
      <c r="E141" s="25">
        <f t="shared" si="14"/>
        <v>854678</v>
      </c>
      <c r="F141" s="25">
        <f>1400+6806</f>
        <v>8206</v>
      </c>
      <c r="G141" s="25">
        <f t="shared" si="14"/>
        <v>862884</v>
      </c>
      <c r="H141" s="25">
        <v>876720</v>
      </c>
      <c r="I141" s="25"/>
      <c r="J141" s="25">
        <f t="shared" si="12"/>
        <v>876720</v>
      </c>
      <c r="K141" s="25">
        <v>927420</v>
      </c>
      <c r="L141" s="25"/>
      <c r="M141" s="25">
        <f t="shared" si="13"/>
        <v>927420</v>
      </c>
      <c r="N141" s="25"/>
      <c r="O141" s="25">
        <f t="shared" si="11"/>
        <v>862884</v>
      </c>
      <c r="P141" s="25">
        <v>862884</v>
      </c>
      <c r="Q141" s="25">
        <v>12940</v>
      </c>
      <c r="R141" s="25">
        <f t="shared" si="10"/>
        <v>875824</v>
      </c>
      <c r="S141" s="25">
        <f t="shared" si="17"/>
        <v>12940</v>
      </c>
      <c r="T141" s="44">
        <f t="shared" si="15"/>
        <v>0.014996221971898888</v>
      </c>
      <c r="U141" s="44">
        <f t="shared" si="16"/>
        <v>0.009015995379128179</v>
      </c>
    </row>
    <row r="142" spans="1:21" ht="18.75">
      <c r="A142" s="29" t="s">
        <v>31</v>
      </c>
      <c r="B142" s="30"/>
      <c r="C142" s="7">
        <v>39140105</v>
      </c>
      <c r="D142" s="7" t="e">
        <f>SUM(D8,D50,D141)</f>
        <v>#REF!</v>
      </c>
      <c r="E142" s="7" t="e">
        <f t="shared" si="14"/>
        <v>#REF!</v>
      </c>
      <c r="F142" s="7" t="e">
        <f>SUM(F8,F50,F141)</f>
        <v>#REF!</v>
      </c>
      <c r="G142" s="7" t="e">
        <f t="shared" si="14"/>
        <v>#REF!</v>
      </c>
      <c r="H142" s="7">
        <v>42279475</v>
      </c>
      <c r="I142" s="7">
        <v>0</v>
      </c>
      <c r="J142" s="7">
        <f t="shared" si="12"/>
        <v>42279475</v>
      </c>
      <c r="K142" s="7">
        <v>40887429</v>
      </c>
      <c r="L142" s="7">
        <v>0</v>
      </c>
      <c r="M142" s="7">
        <f t="shared" si="13"/>
        <v>40887429</v>
      </c>
      <c r="N142" s="7" t="e">
        <f>SUM(N8,N50,N141)</f>
        <v>#REF!</v>
      </c>
      <c r="O142" s="7" t="e">
        <f t="shared" si="11"/>
        <v>#REF!</v>
      </c>
      <c r="P142" s="7">
        <v>38904334</v>
      </c>
      <c r="Q142" s="7">
        <f>SUM(Q8,Q50,Q141)</f>
        <v>1435227</v>
      </c>
      <c r="R142" s="7">
        <f t="shared" si="10"/>
        <v>40339561</v>
      </c>
      <c r="S142" s="7">
        <f t="shared" si="17"/>
        <v>1435227</v>
      </c>
      <c r="T142" s="35">
        <f t="shared" si="15"/>
        <v>0.03689118543964793</v>
      </c>
      <c r="U142" s="35">
        <f t="shared" si="16"/>
        <v>1</v>
      </c>
    </row>
    <row r="144" ht="18.75" hidden="1">
      <c r="B144" s="3" t="s">
        <v>139</v>
      </c>
    </row>
    <row r="145" ht="18.75" hidden="1">
      <c r="B145" s="3" t="s">
        <v>140</v>
      </c>
    </row>
    <row r="146" ht="18.75" hidden="1">
      <c r="B146" s="3" t="s">
        <v>141</v>
      </c>
    </row>
    <row r="147" ht="18.75" hidden="1">
      <c r="B147" s="3" t="s">
        <v>142</v>
      </c>
    </row>
    <row r="148" ht="18.75" hidden="1">
      <c r="B148" s="3" t="s">
        <v>144</v>
      </c>
    </row>
    <row r="149" ht="18.75" hidden="1">
      <c r="B149" s="3" t="s">
        <v>145</v>
      </c>
    </row>
    <row r="150" spans="2:21" ht="18.75" hidden="1">
      <c r="B150" s="3" t="s">
        <v>146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45"/>
      <c r="U150" s="45"/>
    </row>
    <row r="151" ht="18.75" hidden="1">
      <c r="B151" s="3" t="s">
        <v>143</v>
      </c>
    </row>
    <row r="152" ht="18.75" hidden="1"/>
    <row r="153" spans="2:17" ht="18.75" hidden="1">
      <c r="B153" s="2" t="s">
        <v>231</v>
      </c>
      <c r="Q153" s="5">
        <v>123610</v>
      </c>
    </row>
    <row r="154" spans="2:17" ht="18.75" hidden="1">
      <c r="B154" s="2" t="s">
        <v>192</v>
      </c>
      <c r="D154" s="5">
        <v>-93</v>
      </c>
      <c r="Q154" s="5">
        <f>3758+6442+36+1881-4500+82900+341+2830+79140+13300+305000+6155+26000+21734</f>
        <v>545017</v>
      </c>
    </row>
    <row r="155" spans="2:17" ht="18.75" hidden="1">
      <c r="B155" s="2" t="s">
        <v>196</v>
      </c>
      <c r="D155" s="5">
        <f>568+203822</f>
        <v>204390</v>
      </c>
      <c r="Q155" s="5">
        <f>8750+305733+48836+624+26540+2146+148</f>
        <v>392777</v>
      </c>
    </row>
    <row r="156" spans="2:17" ht="18.75" hidden="1">
      <c r="B156" s="2" t="s">
        <v>142</v>
      </c>
      <c r="D156" s="5">
        <f>95458+46994+4387+57820+185825+80049+31973+34+252860</f>
        <v>755400</v>
      </c>
      <c r="Q156" s="5">
        <f>-12116-9856+6280+4000-12877+3742+2516+100-33649+27111+3552+308</f>
        <v>-20889</v>
      </c>
    </row>
    <row r="157" spans="2:17" ht="18.75" hidden="1">
      <c r="B157" s="2" t="s">
        <v>216</v>
      </c>
      <c r="D157" s="5">
        <v>601975</v>
      </c>
      <c r="Q157" s="5">
        <f>39205+28248-24839</f>
        <v>42614</v>
      </c>
    </row>
    <row r="158" spans="2:17" ht="18.75" hidden="1">
      <c r="B158" s="2" t="s">
        <v>219</v>
      </c>
      <c r="D158" s="5">
        <f>16700+680000+156000+860000-956000+169951</f>
        <v>926651</v>
      </c>
      <c r="Q158" s="5">
        <f>-16700+16900-680000-23400+680000+16700+1008-186541+384678+31713</f>
        <v>224358</v>
      </c>
    </row>
    <row r="159" spans="2:17" ht="18.75" hidden="1">
      <c r="B159" s="2" t="s">
        <v>225</v>
      </c>
      <c r="D159" s="5">
        <f>104869+320</f>
        <v>105189</v>
      </c>
      <c r="Q159" s="5">
        <v>114800</v>
      </c>
    </row>
    <row r="160" spans="2:17" ht="18.75" hidden="1">
      <c r="B160" s="2" t="s">
        <v>224</v>
      </c>
      <c r="Q160" s="5">
        <f>8529-2700</f>
        <v>5829</v>
      </c>
    </row>
    <row r="161" spans="2:17" ht="18.75" hidden="1">
      <c r="B161" s="2" t="s">
        <v>193</v>
      </c>
      <c r="D161" s="5">
        <f>SUM(D154:D160)</f>
        <v>2593512</v>
      </c>
      <c r="Q161" s="5">
        <f>SUM(Q153:Q160)</f>
        <v>1428116</v>
      </c>
    </row>
    <row r="162" ht="18.75">
      <c r="D162" s="5" t="e">
        <f>D142-D161</f>
        <v>#REF!</v>
      </c>
    </row>
    <row r="163" ht="18.75" hidden="1">
      <c r="D163" s="5" t="e">
        <f>D50-D161</f>
        <v>#REF!</v>
      </c>
    </row>
    <row r="164" spans="2:14" ht="18.75" hidden="1">
      <c r="B164" s="2" t="s">
        <v>231</v>
      </c>
      <c r="F164" s="5">
        <f>57+25438</f>
        <v>25495</v>
      </c>
      <c r="N164" s="5">
        <f>57+25438</f>
        <v>25495</v>
      </c>
    </row>
    <row r="165" spans="2:14" ht="18.75" hidden="1">
      <c r="B165" s="2" t="s">
        <v>196</v>
      </c>
      <c r="F165" s="5">
        <v>5533</v>
      </c>
      <c r="N165" s="5">
        <v>5533</v>
      </c>
    </row>
    <row r="166" spans="2:14" ht="18.75" hidden="1">
      <c r="B166" s="2" t="s">
        <v>142</v>
      </c>
      <c r="F166" s="5">
        <v>209477</v>
      </c>
      <c r="N166" s="5">
        <v>209477</v>
      </c>
    </row>
    <row r="167" spans="2:14" ht="18.75" hidden="1">
      <c r="B167" s="2" t="s">
        <v>236</v>
      </c>
      <c r="F167" s="5">
        <f>-1041520-45863</f>
        <v>-1087383</v>
      </c>
      <c r="N167" s="5">
        <f>-1041520-45863</f>
        <v>-1087383</v>
      </c>
    </row>
    <row r="168" spans="2:14" ht="18.75" hidden="1">
      <c r="B168" s="2" t="s">
        <v>237</v>
      </c>
      <c r="F168" s="5">
        <v>-2595000</v>
      </c>
      <c r="N168" s="5">
        <v>-2595000</v>
      </c>
    </row>
    <row r="169" spans="2:14" ht="18.75" hidden="1">
      <c r="B169" s="2" t="s">
        <v>238</v>
      </c>
      <c r="F169" s="5">
        <f>1400+6806</f>
        <v>8206</v>
      </c>
      <c r="N169" s="5">
        <f>1400+6806</f>
        <v>8206</v>
      </c>
    </row>
    <row r="170" spans="2:14" ht="18.75" hidden="1">
      <c r="B170" s="2" t="s">
        <v>193</v>
      </c>
      <c r="F170" s="5">
        <f>SUM(F164:F169)</f>
        <v>-3433672</v>
      </c>
      <c r="N170" s="5">
        <f>SUM(N164:N169)</f>
        <v>-3433672</v>
      </c>
    </row>
    <row r="171" spans="6:14" ht="18.75" hidden="1">
      <c r="F171" s="5" t="e">
        <f>F142-F170</f>
        <v>#REF!</v>
      </c>
      <c r="N171" s="5" t="e">
        <f>N142-N170</f>
        <v>#REF!</v>
      </c>
    </row>
    <row r="172" ht="18.75" hidden="1"/>
  </sheetData>
  <sheetProtection/>
  <mergeCells count="6">
    <mergeCell ref="A142:B142"/>
    <mergeCell ref="A140:B140"/>
    <mergeCell ref="A1:R1"/>
    <mergeCell ref="A2:R2"/>
    <mergeCell ref="A3:R3"/>
    <mergeCell ref="A5:S5"/>
  </mergeCells>
  <printOptions horizontalCentered="1"/>
  <pageMargins left="0.5905511811023623" right="0.2362204724409449" top="0.7874015748031497" bottom="0.4724409448818898" header="0.1968503937007874" footer="0.1574803149606299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Чернышев Петр Сергеевич</cp:lastModifiedBy>
  <cp:lastPrinted>2009-09-30T05:44:24Z</cp:lastPrinted>
  <dcterms:created xsi:type="dcterms:W3CDTF">2004-11-16T05:58:34Z</dcterms:created>
  <dcterms:modified xsi:type="dcterms:W3CDTF">2009-09-30T06:04:56Z</dcterms:modified>
  <cp:category/>
  <cp:version/>
  <cp:contentType/>
  <cp:contentStatus/>
</cp:coreProperties>
</file>